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7766"/>
  <workbookPr codeName="ThisWorkbook" defaultThemeVersion="124226"/>
  <mc:AlternateContent xmlns:mc="http://schemas.openxmlformats.org/markup-compatibility/2006">
    <mc:Choice Requires="x15">
      <x15ac:absPath xmlns:x15ac="http://schemas.microsoft.com/office/spreadsheetml/2010/11/ac" url="D:\Data\Documents\Website Content\Transport_Final\Reports\Cities\Capacity building\"/>
    </mc:Choice>
  </mc:AlternateContent>
  <bookViews>
    <workbookView xWindow="0" yWindow="0" windowWidth="20490" windowHeight="7530" tabRatio="979"/>
  </bookViews>
  <sheets>
    <sheet name="Title" sheetId="24" r:id="rId1"/>
    <sheet name="How to use the tool" sheetId="23" r:id="rId2"/>
    <sheet name="Results" sheetId="16" r:id="rId3"/>
    <sheet name="BAU Assumptions" sheetId="17" r:id="rId4"/>
    <sheet name="CMP Data Input" sheetId="1" r:id="rId5"/>
    <sheet name="C_VC Data" sheetId="15" state="hidden" r:id="rId6"/>
    <sheet name="BAU (2030)" sheetId="5" r:id="rId7"/>
    <sheet name="CMP_As Is Scenario (2030)" sheetId="11" r:id="rId8"/>
    <sheet name="Induced Demand" sheetId="14" r:id="rId9"/>
    <sheet name="CMP_Most Likely (2030)" sheetId="13" r:id="rId10"/>
    <sheet name="Additional Measures" sheetId="20" r:id="rId11"/>
    <sheet name="CMP Add Measures(2030)" sheetId="19" r:id="rId12"/>
    <sheet name="Construction Emissions" sheetId="12" r:id="rId13"/>
    <sheet name="Emissions Factors" sheetId="6" r:id="rId14"/>
    <sheet name="Ld Fctr imprv" sheetId="22" r:id="rId15"/>
    <sheet name="Speed Emissions Relation" sheetId="9" r:id="rId16"/>
  </sheets>
  <definedNames>
    <definedName name="CMP_policies">#REF!</definedName>
    <definedName name="fuel_type">'Emissions Factors'!$D$4:$D$7</definedName>
    <definedName name="MetroEF">'Emissions Factors'!$E$39:$E$42</definedName>
    <definedName name="speed_emission_rel">'Speed Emissions Relation'!$C$7:$I$25</definedName>
    <definedName name="veh_category">'Emissions Factors'!$K$7:$K$8</definedName>
    <definedName name="yes_no">'Emissions Factors'!$K$3:$K$4</definedName>
    <definedName name="yesno">#REF!</definedName>
  </definedNames>
  <calcPr calcId="171027"/>
</workbook>
</file>

<file path=xl/calcChain.xml><?xml version="1.0" encoding="utf-8"?>
<calcChain xmlns="http://schemas.openxmlformats.org/spreadsheetml/2006/main">
  <c r="H25" i="9" l="1"/>
  <c r="E25" i="9"/>
  <c r="I24" i="9"/>
  <c r="E24" i="9"/>
  <c r="H23" i="9"/>
  <c r="G23" i="9"/>
  <c r="F23" i="9"/>
  <c r="D23" i="9"/>
  <c r="I22" i="9"/>
  <c r="E22" i="9"/>
  <c r="H21" i="9"/>
  <c r="G21" i="9"/>
  <c r="F21" i="9"/>
  <c r="E21" i="9" s="1"/>
  <c r="D21" i="9"/>
  <c r="I20" i="9"/>
  <c r="E20" i="9"/>
  <c r="I19" i="9"/>
  <c r="G19" i="9"/>
  <c r="F19" i="9"/>
  <c r="E19" i="9" s="1"/>
  <c r="D19" i="9"/>
  <c r="I18" i="9"/>
  <c r="E18" i="9"/>
  <c r="I17" i="9"/>
  <c r="G17" i="9"/>
  <c r="F17" i="9"/>
  <c r="E17" i="9" s="1"/>
  <c r="D17" i="9"/>
  <c r="I16" i="9"/>
  <c r="E16" i="9"/>
  <c r="I15" i="9"/>
  <c r="E15" i="9"/>
  <c r="I14" i="9"/>
  <c r="E14" i="9"/>
  <c r="I13" i="9"/>
  <c r="G13" i="9"/>
  <c r="D13" i="9"/>
  <c r="I12" i="9"/>
  <c r="E12" i="9"/>
  <c r="I11" i="9"/>
  <c r="E11" i="9"/>
  <c r="I10" i="9"/>
  <c r="E10" i="9"/>
  <c r="I9" i="9"/>
  <c r="E9" i="9"/>
  <c r="I8" i="9"/>
  <c r="H8" i="9"/>
  <c r="E8" i="9"/>
  <c r="I7" i="9" s="1"/>
  <c r="H7" i="9"/>
  <c r="G7" i="9"/>
  <c r="F7" i="9"/>
  <c r="E7" i="9"/>
  <c r="D7" i="9"/>
  <c r="H35" i="22"/>
  <c r="H34" i="22"/>
  <c r="F29" i="22"/>
  <c r="F25" i="22"/>
  <c r="F21" i="22"/>
  <c r="F17" i="22"/>
  <c r="E94" i="6"/>
  <c r="J85" i="6"/>
  <c r="J84" i="6"/>
  <c r="J83" i="6"/>
  <c r="J82" i="6"/>
  <c r="J81" i="6"/>
  <c r="J80" i="6"/>
  <c r="J79" i="6"/>
  <c r="J78" i="6"/>
  <c r="J77" i="6"/>
  <c r="J76" i="6"/>
  <c r="J75" i="6"/>
  <c r="J74" i="6"/>
  <c r="J73" i="6"/>
  <c r="J72" i="6"/>
  <c r="J71" i="6"/>
  <c r="J70" i="6"/>
  <c r="J69" i="6"/>
  <c r="J68" i="6"/>
  <c r="J67" i="6"/>
  <c r="J66" i="6"/>
  <c r="J65" i="6"/>
  <c r="I56" i="6"/>
  <c r="G55" i="6"/>
  <c r="G52" i="6"/>
  <c r="G51" i="6"/>
  <c r="G50" i="6"/>
  <c r="G49" i="6"/>
  <c r="J48" i="6"/>
  <c r="I48" i="6" s="1"/>
  <c r="G48" i="6"/>
  <c r="L69" i="6" l="1"/>
  <c r="L73" i="6"/>
  <c r="L77" i="6"/>
  <c r="L81" i="6"/>
  <c r="L85" i="6"/>
  <c r="L65" i="6"/>
  <c r="L67" i="6"/>
  <c r="L71" i="6"/>
  <c r="L75" i="6"/>
  <c r="L79" i="6"/>
  <c r="L83" i="6"/>
  <c r="I23" i="9"/>
  <c r="L66" i="6"/>
  <c r="L68" i="6"/>
  <c r="L70" i="6"/>
  <c r="L72" i="6"/>
  <c r="L74" i="6"/>
  <c r="L76" i="6"/>
  <c r="L78" i="6"/>
  <c r="L80" i="6"/>
  <c r="L82" i="6"/>
  <c r="L84" i="6"/>
  <c r="E95" i="6"/>
  <c r="E97" i="6" s="1"/>
  <c r="E98" i="6" s="1"/>
  <c r="E23" i="9"/>
  <c r="K48" i="6"/>
  <c r="L48" i="6" s="1"/>
  <c r="G53" i="6"/>
  <c r="E13" i="9"/>
  <c r="I21" i="9"/>
  <c r="E42" i="6"/>
  <c r="F42" i="6" s="1"/>
  <c r="F41" i="6"/>
  <c r="F40" i="6"/>
  <c r="F39" i="6"/>
  <c r="J34" i="6" l="1"/>
  <c r="F34" i="6"/>
  <c r="J33" i="6"/>
  <c r="G33" i="6"/>
  <c r="F33" i="6"/>
  <c r="H32" i="6"/>
  <c r="H31" i="6"/>
  <c r="I30" i="6"/>
  <c r="H29" i="6"/>
  <c r="G34" i="6" l="1"/>
  <c r="I28" i="6"/>
  <c r="H27" i="6"/>
  <c r="H26" i="6"/>
  <c r="H25" i="6"/>
  <c r="H24" i="6"/>
  <c r="H23" i="6"/>
  <c r="H22" i="6"/>
  <c r="H21" i="6" l="1"/>
  <c r="H20" i="6"/>
  <c r="H19" i="6"/>
  <c r="H18" i="6"/>
  <c r="H17" i="6"/>
  <c r="H16" i="6" l="1"/>
  <c r="I16" i="6" s="1"/>
  <c r="F8" i="6" l="1"/>
  <c r="F7" i="6"/>
  <c r="G32" i="6" l="1"/>
  <c r="G31" i="6"/>
  <c r="G30" i="6"/>
  <c r="G29" i="6"/>
  <c r="G23" i="6"/>
  <c r="G28" i="6"/>
  <c r="G27" i="6"/>
  <c r="G26" i="6"/>
  <c r="G25" i="6"/>
  <c r="G24" i="6"/>
  <c r="G22" i="6"/>
  <c r="G21" i="6"/>
  <c r="G20" i="6"/>
  <c r="G19" i="6"/>
  <c r="G18" i="6"/>
  <c r="G17" i="6"/>
  <c r="K16" i="6" s="1"/>
  <c r="G16" i="6"/>
  <c r="J16" i="6" s="1"/>
  <c r="L13" i="12"/>
  <c r="G13" i="12"/>
  <c r="E13" i="12"/>
  <c r="J13" i="12" s="1"/>
  <c r="D13" i="12"/>
  <c r="C13" i="12"/>
  <c r="L12" i="12"/>
  <c r="G12" i="12"/>
  <c r="J12" i="12" s="1"/>
  <c r="E12" i="12"/>
  <c r="D12" i="12"/>
  <c r="C12" i="12"/>
  <c r="L11" i="12"/>
  <c r="G11" i="12"/>
  <c r="E11" i="12"/>
  <c r="J11" i="12" s="1"/>
  <c r="D11" i="12"/>
  <c r="I11" i="12" s="1"/>
  <c r="C11" i="12"/>
  <c r="H11" i="12" s="1"/>
  <c r="L10" i="12"/>
  <c r="G10" i="12"/>
  <c r="E10" i="12"/>
  <c r="D10" i="12"/>
  <c r="I10" i="12" s="1"/>
  <c r="C10" i="12"/>
  <c r="L9" i="12"/>
  <c r="G9" i="12"/>
  <c r="E9" i="12"/>
  <c r="J9" i="12" s="1"/>
  <c r="D9" i="12"/>
  <c r="C9" i="12"/>
  <c r="L8" i="12"/>
  <c r="G8" i="12"/>
  <c r="J8" i="12" s="1"/>
  <c r="E8" i="12"/>
  <c r="D8" i="12"/>
  <c r="C8" i="12"/>
  <c r="L7" i="12"/>
  <c r="G7" i="12"/>
  <c r="E7" i="12"/>
  <c r="J7" i="12" s="1"/>
  <c r="D7" i="12"/>
  <c r="I7" i="12" s="1"/>
  <c r="C7" i="12"/>
  <c r="H7" i="12" s="1"/>
  <c r="H12" i="12" l="1"/>
  <c r="I8" i="12"/>
  <c r="H9" i="12"/>
  <c r="J10" i="12"/>
  <c r="K10" i="12" s="1"/>
  <c r="M10" i="12" s="1"/>
  <c r="I12" i="12"/>
  <c r="H13" i="12"/>
  <c r="H8" i="12"/>
  <c r="I9" i="12"/>
  <c r="K9" i="12" s="1"/>
  <c r="M9" i="12" s="1"/>
  <c r="H10" i="12"/>
  <c r="I13" i="12"/>
  <c r="K8" i="12"/>
  <c r="K12" i="12"/>
  <c r="J19" i="6"/>
  <c r="I19" i="6" s="1"/>
  <c r="J24" i="6"/>
  <c r="I24" i="6" s="1"/>
  <c r="J26" i="6"/>
  <c r="I26" i="6" s="1"/>
  <c r="J29" i="6"/>
  <c r="I29" i="6" s="1"/>
  <c r="K7" i="12"/>
  <c r="K11" i="12"/>
  <c r="K13" i="12"/>
  <c r="J22" i="6"/>
  <c r="I22" i="6" s="1"/>
  <c r="J23" i="6"/>
  <c r="I23" i="6" s="1"/>
  <c r="J31" i="6"/>
  <c r="I31" i="6" s="1"/>
  <c r="K28" i="6" s="1"/>
  <c r="J28" i="6" s="1"/>
  <c r="J32" i="6"/>
  <c r="I32" i="6" s="1"/>
  <c r="F7" i="12"/>
  <c r="F8" i="12"/>
  <c r="F9" i="12"/>
  <c r="F10" i="12"/>
  <c r="F11" i="12"/>
  <c r="F12" i="12"/>
  <c r="F13" i="12"/>
  <c r="M7" i="12"/>
  <c r="M8" i="12"/>
  <c r="M11" i="12"/>
  <c r="M12" i="12"/>
  <c r="J18" i="6"/>
  <c r="I18" i="6" s="1"/>
  <c r="J20" i="6"/>
  <c r="I20" i="6" s="1"/>
  <c r="J25" i="6"/>
  <c r="I25" i="6" s="1"/>
  <c r="J27" i="6"/>
  <c r="I27" i="6" s="1"/>
  <c r="J30" i="6"/>
  <c r="L6" i="12"/>
  <c r="G6" i="12"/>
  <c r="I6" i="12" s="1"/>
  <c r="E6" i="12"/>
  <c r="D6" i="12"/>
  <c r="C6" i="12"/>
  <c r="L5" i="12"/>
  <c r="G5" i="12"/>
  <c r="E5" i="12"/>
  <c r="D5" i="12"/>
  <c r="C5" i="12"/>
  <c r="J5" i="12" l="1"/>
  <c r="I5" i="12"/>
  <c r="I14" i="12" s="1"/>
  <c r="J6" i="12"/>
  <c r="J14" i="12" s="1"/>
  <c r="F5" i="12"/>
  <c r="H5" i="12"/>
  <c r="F6" i="12"/>
  <c r="H6" i="12"/>
  <c r="K6" i="12" s="1"/>
  <c r="M6" i="12" s="1"/>
  <c r="H14" i="12" l="1"/>
  <c r="M13" i="12" s="1"/>
  <c r="K5" i="12"/>
  <c r="E31" i="19"/>
  <c r="E32" i="19" s="1"/>
  <c r="B31" i="19"/>
  <c r="C38" i="19" l="1"/>
  <c r="E33" i="19"/>
  <c r="C36" i="19"/>
  <c r="C35" i="19"/>
  <c r="K14" i="12"/>
  <c r="M5" i="12"/>
  <c r="M14" i="12" s="1"/>
  <c r="I22" i="19"/>
  <c r="G22" i="19"/>
  <c r="D38" i="19" l="1"/>
  <c r="E38" i="19" s="1"/>
  <c r="D37" i="19"/>
  <c r="C37" i="19" s="1"/>
  <c r="E37" i="19" s="1"/>
  <c r="D36" i="19"/>
  <c r="E36" i="19" s="1"/>
  <c r="D35" i="19"/>
  <c r="E35" i="19" s="1"/>
  <c r="I21" i="19"/>
  <c r="G21" i="19" l="1"/>
  <c r="I20" i="19"/>
  <c r="G20" i="19"/>
  <c r="I19" i="19" l="1"/>
  <c r="G19" i="19"/>
  <c r="I18" i="19"/>
  <c r="G18" i="19"/>
  <c r="I17" i="19"/>
  <c r="G17" i="19"/>
  <c r="I16" i="19" l="1"/>
  <c r="G16" i="19"/>
  <c r="I15" i="19" l="1"/>
  <c r="I14" i="19" l="1"/>
  <c r="I13" i="19" l="1"/>
  <c r="I12" i="19" l="1"/>
  <c r="I11" i="19" l="1"/>
  <c r="G11" i="19"/>
  <c r="I10" i="19" l="1"/>
  <c r="G10" i="19" l="1"/>
  <c r="G9" i="19"/>
  <c r="I8" i="19"/>
  <c r="E8" i="19"/>
  <c r="I7" i="19"/>
  <c r="I6" i="19"/>
  <c r="I4" i="19"/>
  <c r="G4" i="19"/>
  <c r="D61" i="20" l="1"/>
  <c r="D60" i="20"/>
  <c r="D37" i="20" l="1"/>
  <c r="D33" i="20"/>
  <c r="D32" i="20"/>
  <c r="C24" i="20" l="1"/>
  <c r="C20" i="20"/>
  <c r="D30" i="20" s="1"/>
  <c r="C19" i="20"/>
  <c r="D29" i="20" s="1"/>
  <c r="C6" i="20" l="1"/>
  <c r="F8" i="19" s="1"/>
  <c r="E31" i="13" l="1"/>
  <c r="E32" i="13" s="1"/>
  <c r="B31" i="13"/>
  <c r="F22" i="13"/>
  <c r="E22" i="13"/>
  <c r="F21" i="13"/>
  <c r="E21" i="13"/>
  <c r="F20" i="13"/>
  <c r="E20" i="13"/>
  <c r="F19" i="13"/>
  <c r="E19" i="13"/>
  <c r="F18" i="13"/>
  <c r="E18" i="13"/>
  <c r="F17" i="13"/>
  <c r="E17" i="13"/>
  <c r="F16" i="13"/>
  <c r="E16" i="13"/>
  <c r="C38" i="13" l="1"/>
  <c r="C36" i="13"/>
  <c r="C35" i="13"/>
  <c r="C37" i="13"/>
  <c r="E33" i="13"/>
  <c r="F15" i="13"/>
  <c r="D38" i="13" l="1"/>
  <c r="D37" i="13"/>
  <c r="D36" i="13"/>
  <c r="E36" i="13" s="1"/>
  <c r="E37" i="13"/>
  <c r="E38" i="13"/>
  <c r="F14" i="13"/>
  <c r="F13" i="13" l="1"/>
  <c r="F12" i="13" l="1"/>
  <c r="F11" i="13" l="1"/>
  <c r="E11" i="13"/>
  <c r="F10" i="13" l="1"/>
  <c r="E10" i="13"/>
  <c r="E9" i="13"/>
  <c r="F8" i="13"/>
  <c r="D8" i="13"/>
  <c r="F7" i="13"/>
  <c r="F6" i="13"/>
  <c r="F4" i="13"/>
  <c r="E4" i="13"/>
  <c r="F7" i="14"/>
  <c r="E32" i="11" l="1"/>
  <c r="B31" i="11"/>
  <c r="F22" i="11"/>
  <c r="E22" i="11"/>
  <c r="F21" i="11"/>
  <c r="E21" i="11"/>
  <c r="C38" i="11" l="1"/>
  <c r="C37" i="11"/>
  <c r="E33" i="11"/>
  <c r="F20" i="11"/>
  <c r="E20" i="11"/>
  <c r="D38" i="11" l="1"/>
  <c r="D37" i="11"/>
  <c r="D35" i="11"/>
  <c r="C35" i="11" s="1"/>
  <c r="E37" i="11"/>
  <c r="E38" i="11"/>
  <c r="F19" i="11"/>
  <c r="E19" i="11"/>
  <c r="F18" i="11"/>
  <c r="E18" i="11"/>
  <c r="F17" i="11" l="1"/>
  <c r="E17" i="11"/>
  <c r="F16" i="11"/>
  <c r="E16" i="11"/>
  <c r="F15" i="11" l="1"/>
  <c r="F14" i="11" l="1"/>
  <c r="F13" i="11"/>
  <c r="F12" i="11"/>
  <c r="F11" i="11" l="1"/>
  <c r="E11" i="11"/>
  <c r="F10" i="11"/>
  <c r="E10" i="11"/>
  <c r="E9" i="11"/>
  <c r="F8" i="11"/>
  <c r="D8" i="11"/>
  <c r="F7" i="11"/>
  <c r="F6" i="11"/>
  <c r="F4" i="11" l="1"/>
  <c r="E4" i="11"/>
  <c r="O30" i="5"/>
  <c r="L30" i="5"/>
  <c r="E30" i="5"/>
  <c r="E31" i="5" s="1"/>
  <c r="C37" i="5" s="1"/>
  <c r="C35" i="5" l="1"/>
  <c r="C36" i="5"/>
  <c r="E32" i="5"/>
  <c r="C34" i="5"/>
  <c r="B30" i="5"/>
  <c r="O31" i="5" l="1"/>
  <c r="O32" i="5" s="1"/>
  <c r="D36" i="5"/>
  <c r="D35" i="5"/>
  <c r="D37" i="5"/>
  <c r="D34" i="5"/>
  <c r="P20" i="5"/>
  <c r="O20" i="5"/>
  <c r="N20" i="5"/>
  <c r="F20" i="5"/>
  <c r="E20" i="5"/>
  <c r="D20" i="5"/>
  <c r="N34" i="5" l="1"/>
  <c r="M34" i="5" s="1"/>
  <c r="N36" i="5"/>
  <c r="M36" i="5" s="1"/>
  <c r="S20" i="5"/>
  <c r="I20" i="5"/>
  <c r="P19" i="5"/>
  <c r="O19" i="5"/>
  <c r="N19" i="5"/>
  <c r="F19" i="5"/>
  <c r="E19" i="5"/>
  <c r="D19" i="5"/>
  <c r="P18" i="5"/>
  <c r="O18" i="5"/>
  <c r="N18" i="5"/>
  <c r="F18" i="5"/>
  <c r="E18" i="5"/>
  <c r="D18" i="5"/>
  <c r="P17" i="5"/>
  <c r="O17" i="5"/>
  <c r="N17" i="5"/>
  <c r="F17" i="5"/>
  <c r="E17" i="5"/>
  <c r="D17" i="5"/>
  <c r="P16" i="5"/>
  <c r="O16" i="5"/>
  <c r="N16" i="5"/>
  <c r="F16" i="5"/>
  <c r="E16" i="5"/>
  <c r="D16" i="5"/>
  <c r="P15" i="5"/>
  <c r="N15" i="5"/>
  <c r="F15" i="5"/>
  <c r="I17" i="5" l="1"/>
  <c r="I19" i="5"/>
  <c r="E36" i="5"/>
  <c r="O36" i="5"/>
  <c r="E34" i="5"/>
  <c r="O34" i="5"/>
  <c r="S16" i="5"/>
  <c r="S18" i="5"/>
  <c r="I16" i="5"/>
  <c r="S17" i="5"/>
  <c r="I18" i="5"/>
  <c r="S19" i="5"/>
  <c r="E15" i="5"/>
  <c r="D15" i="5"/>
  <c r="P14" i="5"/>
  <c r="N14" i="5"/>
  <c r="F14" i="5"/>
  <c r="E14" i="5"/>
  <c r="D14" i="5"/>
  <c r="P13" i="5"/>
  <c r="N13" i="5"/>
  <c r="F13" i="5"/>
  <c r="E13" i="5"/>
  <c r="D13" i="5"/>
  <c r="P12" i="5"/>
  <c r="N12" i="5"/>
  <c r="F12" i="5"/>
  <c r="E12" i="5"/>
  <c r="D12" i="5"/>
  <c r="P11" i="5"/>
  <c r="O11" i="5"/>
  <c r="N11" i="5"/>
  <c r="F11" i="5"/>
  <c r="E11" i="5"/>
  <c r="D11" i="5"/>
  <c r="P10" i="5"/>
  <c r="O10" i="5"/>
  <c r="N10" i="5"/>
  <c r="F10" i="5"/>
  <c r="E10" i="5"/>
  <c r="I10" i="5" s="1"/>
  <c r="D10" i="5"/>
  <c r="O9" i="5"/>
  <c r="N9" i="5"/>
  <c r="E9" i="5"/>
  <c r="D9" i="5"/>
  <c r="S11" i="5" l="1"/>
  <c r="S10" i="5"/>
  <c r="I11" i="5"/>
  <c r="P8" i="5"/>
  <c r="N8" i="5"/>
  <c r="F8" i="5"/>
  <c r="D8" i="5"/>
  <c r="P7" i="5" l="1"/>
  <c r="N7" i="5"/>
  <c r="F7" i="5"/>
  <c r="D7" i="5"/>
  <c r="P6" i="5" l="1"/>
  <c r="N6" i="5"/>
  <c r="F6" i="5"/>
  <c r="D6" i="5"/>
  <c r="N5" i="5"/>
  <c r="D5" i="5"/>
  <c r="P4" i="5"/>
  <c r="O4" i="5"/>
  <c r="N4" i="5"/>
  <c r="G4" i="5"/>
  <c r="F4" i="5"/>
  <c r="E4" i="5"/>
  <c r="D4" i="5"/>
  <c r="I4" i="5" l="1"/>
  <c r="H4" i="5"/>
  <c r="J4" i="5"/>
  <c r="S4" i="5"/>
  <c r="E16" i="15"/>
  <c r="D16" i="15"/>
  <c r="N37" i="1"/>
  <c r="C26" i="1" s="1"/>
  <c r="E22" i="1"/>
  <c r="D22" i="1"/>
  <c r="C22" i="1"/>
  <c r="C20" i="1"/>
  <c r="G19" i="1"/>
  <c r="G18" i="1"/>
  <c r="G17" i="1"/>
  <c r="G16" i="1"/>
  <c r="G15" i="1"/>
  <c r="E14" i="1"/>
  <c r="E20" i="1" s="1"/>
  <c r="D14" i="1"/>
  <c r="D36" i="20" s="1"/>
  <c r="D35" i="20" s="1"/>
  <c r="D34" i="20" s="1"/>
  <c r="C14" i="1"/>
  <c r="G12" i="1"/>
  <c r="G11" i="1"/>
  <c r="G10" i="1"/>
  <c r="G9" i="1"/>
  <c r="E7" i="17"/>
  <c r="E4" i="19" l="1"/>
  <c r="D4" i="13"/>
  <c r="D4" i="11"/>
  <c r="E7" i="19"/>
  <c r="F7" i="19" s="1"/>
  <c r="E6" i="19"/>
  <c r="F6" i="19" s="1"/>
  <c r="E5" i="19"/>
  <c r="F5" i="19" s="1"/>
  <c r="D6" i="13"/>
  <c r="D5" i="13"/>
  <c r="D7" i="13"/>
  <c r="D7" i="11"/>
  <c r="D6" i="11"/>
  <c r="D5" i="11"/>
  <c r="E8" i="5"/>
  <c r="E7" i="5"/>
  <c r="E6" i="5"/>
  <c r="E5" i="5"/>
  <c r="E11" i="19"/>
  <c r="F11" i="19" s="1"/>
  <c r="L11" i="19" s="1"/>
  <c r="E10" i="19"/>
  <c r="F10" i="19" s="1"/>
  <c r="L10" i="19" s="1"/>
  <c r="E9" i="19"/>
  <c r="F9" i="19" s="1"/>
  <c r="D11" i="13"/>
  <c r="I11" i="13" s="1"/>
  <c r="D10" i="13"/>
  <c r="I10" i="13" s="1"/>
  <c r="D9" i="13"/>
  <c r="D11" i="11"/>
  <c r="I11" i="11" s="1"/>
  <c r="D10" i="11"/>
  <c r="I10" i="11" s="1"/>
  <c r="D9" i="11"/>
  <c r="E15" i="19"/>
  <c r="E14" i="19"/>
  <c r="F14" i="19" s="1"/>
  <c r="E13" i="19"/>
  <c r="F13" i="19" s="1"/>
  <c r="L13" i="19" s="1"/>
  <c r="E12" i="19"/>
  <c r="F12" i="19" s="1"/>
  <c r="D15" i="13"/>
  <c r="D14" i="13"/>
  <c r="D13" i="13"/>
  <c r="I13" i="13" s="1"/>
  <c r="D12" i="13"/>
  <c r="D15" i="11"/>
  <c r="D13" i="11"/>
  <c r="D14" i="11"/>
  <c r="D12" i="11"/>
  <c r="E18" i="19"/>
  <c r="F18" i="19" s="1"/>
  <c r="L18" i="19" s="1"/>
  <c r="E17" i="19"/>
  <c r="F17" i="19" s="1"/>
  <c r="L17" i="19" s="1"/>
  <c r="E16" i="19"/>
  <c r="F16" i="19" s="1"/>
  <c r="D17" i="13"/>
  <c r="I17" i="13" s="1"/>
  <c r="D18" i="13"/>
  <c r="I18" i="13" s="1"/>
  <c r="D16" i="13"/>
  <c r="I16" i="13" s="1"/>
  <c r="D18" i="11"/>
  <c r="I18" i="11" s="1"/>
  <c r="D17" i="11"/>
  <c r="I17" i="11" s="1"/>
  <c r="D16" i="11"/>
  <c r="I16" i="11" s="1"/>
  <c r="E22" i="19"/>
  <c r="F22" i="19" s="1"/>
  <c r="L22" i="19" s="1"/>
  <c r="K22" i="19" s="1"/>
  <c r="M22" i="19" s="1"/>
  <c r="D22" i="13"/>
  <c r="D22" i="11"/>
  <c r="E21" i="19"/>
  <c r="F21" i="19" s="1"/>
  <c r="D21" i="13"/>
  <c r="D21" i="11"/>
  <c r="O15" i="5"/>
  <c r="S15" i="5" s="1"/>
  <c r="O14" i="5"/>
  <c r="S14" i="5" s="1"/>
  <c r="O13" i="5"/>
  <c r="S13" i="5" s="1"/>
  <c r="O12" i="5"/>
  <c r="S12" i="5" s="1"/>
  <c r="O8" i="5"/>
  <c r="S8" i="5" s="1"/>
  <c r="O7" i="5"/>
  <c r="S7" i="5" s="1"/>
  <c r="O5" i="5"/>
  <c r="D20" i="1"/>
  <c r="G20" i="1"/>
  <c r="O6" i="5"/>
  <c r="S6" i="5" s="1"/>
  <c r="E20" i="19"/>
  <c r="F20" i="19" s="1"/>
  <c r="E19" i="19"/>
  <c r="F19" i="19" s="1"/>
  <c r="L19" i="19" s="1"/>
  <c r="D20" i="13"/>
  <c r="I20" i="13" s="1"/>
  <c r="D19" i="13"/>
  <c r="D20" i="11"/>
  <c r="D19" i="11"/>
  <c r="G15" i="19"/>
  <c r="G14" i="19"/>
  <c r="G13" i="19"/>
  <c r="G12" i="19"/>
  <c r="G8" i="19"/>
  <c r="G6" i="19"/>
  <c r="G5" i="19"/>
  <c r="G7" i="19"/>
  <c r="E15" i="13"/>
  <c r="E14" i="13"/>
  <c r="E13" i="13"/>
  <c r="E12" i="13"/>
  <c r="E7" i="13"/>
  <c r="E8" i="13"/>
  <c r="E6" i="13"/>
  <c r="E5" i="13"/>
  <c r="E15" i="11"/>
  <c r="E14" i="11"/>
  <c r="E12" i="11"/>
  <c r="E13" i="11"/>
  <c r="E7" i="11"/>
  <c r="E8" i="11"/>
  <c r="I8" i="11" s="1"/>
  <c r="E6" i="11"/>
  <c r="E5" i="11"/>
  <c r="I15" i="11" l="1"/>
  <c r="L21" i="19"/>
  <c r="K21" i="19" s="1"/>
  <c r="M21" i="19" s="1"/>
  <c r="L16" i="19"/>
  <c r="C14" i="20"/>
  <c r="L8" i="19"/>
  <c r="F15" i="19"/>
  <c r="L15" i="19" s="1"/>
  <c r="I21" i="13"/>
  <c r="H21" i="13" s="1"/>
  <c r="J21" i="13"/>
  <c r="I22" i="11"/>
  <c r="H22" i="11" s="1"/>
  <c r="J22" i="11" s="1"/>
  <c r="I4" i="11"/>
  <c r="D23" i="11"/>
  <c r="E23" i="19"/>
  <c r="F4" i="19"/>
  <c r="I12" i="11"/>
  <c r="I13" i="11"/>
  <c r="I12" i="13"/>
  <c r="I14" i="13"/>
  <c r="L12" i="19"/>
  <c r="L14" i="19"/>
  <c r="I6" i="11"/>
  <c r="I7" i="13"/>
  <c r="I6" i="13"/>
  <c r="L6" i="19"/>
  <c r="I21" i="11"/>
  <c r="H21" i="11" s="1"/>
  <c r="J21" i="11" s="1"/>
  <c r="I22" i="13"/>
  <c r="H22" i="13" s="1"/>
  <c r="J22" i="13" s="1"/>
  <c r="I4" i="13"/>
  <c r="D23" i="13"/>
  <c r="I14" i="11"/>
  <c r="I15" i="13"/>
  <c r="I7" i="11"/>
  <c r="L7" i="19"/>
  <c r="D35" i="13"/>
  <c r="E35" i="13" s="1"/>
  <c r="G4" i="13" s="1"/>
  <c r="H4" i="13" s="1"/>
  <c r="J4" i="13" s="1"/>
  <c r="J17" i="6"/>
  <c r="F5" i="13" s="1"/>
  <c r="G5" i="13"/>
  <c r="G6" i="13" s="1"/>
  <c r="H6" i="13" s="1"/>
  <c r="J6" i="13" s="1"/>
  <c r="J21" i="6"/>
  <c r="F9" i="13"/>
  <c r="I9" i="13" s="1"/>
  <c r="G9" i="13"/>
  <c r="G10" i="13" s="1"/>
  <c r="H10" i="13" s="1"/>
  <c r="J10" i="13" s="1"/>
  <c r="G16" i="13"/>
  <c r="H16" i="13" s="1"/>
  <c r="J16" i="13" s="1"/>
  <c r="I8" i="13"/>
  <c r="I19" i="13"/>
  <c r="J4" i="19"/>
  <c r="K4" i="19" s="1"/>
  <c r="M4" i="19" s="1"/>
  <c r="I5" i="19"/>
  <c r="J5" i="19"/>
  <c r="I9" i="19"/>
  <c r="J9" i="19"/>
  <c r="K9" i="19"/>
  <c r="M9" i="19" s="1"/>
  <c r="J10" i="19"/>
  <c r="K10" i="19" s="1"/>
  <c r="M10" i="19" s="1"/>
  <c r="J16" i="19"/>
  <c r="K16" i="19" s="1"/>
  <c r="M16" i="19" s="1"/>
  <c r="Q4" i="5"/>
  <c r="R4" i="5"/>
  <c r="T4" i="5" s="1"/>
  <c r="P5" i="5"/>
  <c r="M35" i="5"/>
  <c r="N35" i="5"/>
  <c r="P9" i="5"/>
  <c r="R9" i="5" s="1"/>
  <c r="T9" i="5" s="1"/>
  <c r="Q9" i="5"/>
  <c r="Q10" i="5"/>
  <c r="R10" i="5" s="1"/>
  <c r="T10" i="5" s="1"/>
  <c r="M37" i="5"/>
  <c r="O37" i="5" s="1"/>
  <c r="Q16" i="5" s="1"/>
  <c r="N37" i="5"/>
  <c r="D62" i="20"/>
  <c r="D63" i="20"/>
  <c r="D64" i="20"/>
  <c r="D66" i="20"/>
  <c r="I17" i="6"/>
  <c r="F5" i="5"/>
  <c r="I5" i="5" s="1"/>
  <c r="E35" i="5"/>
  <c r="G5" i="5" s="1"/>
  <c r="G6" i="5" s="1"/>
  <c r="I21" i="6"/>
  <c r="F9" i="5" s="1"/>
  <c r="G9" i="5"/>
  <c r="G10" i="5" s="1"/>
  <c r="E37" i="5"/>
  <c r="G16" i="5" s="1"/>
  <c r="H16" i="5" s="1"/>
  <c r="J16" i="5" s="1"/>
  <c r="E35" i="11"/>
  <c r="G4" i="11" s="1"/>
  <c r="H4" i="11" s="1"/>
  <c r="J4" i="11" s="1"/>
  <c r="F5" i="11"/>
  <c r="C36" i="11"/>
  <c r="E36" i="11" s="1"/>
  <c r="G5" i="11" s="1"/>
  <c r="D36" i="11"/>
  <c r="F9" i="11"/>
  <c r="G9" i="11"/>
  <c r="H9" i="11" s="1"/>
  <c r="J9" i="11" s="1"/>
  <c r="G16" i="11"/>
  <c r="H16" i="11" s="1"/>
  <c r="J16" i="11" s="1"/>
  <c r="I6" i="5"/>
  <c r="I7" i="5"/>
  <c r="I8" i="5"/>
  <c r="I12" i="5"/>
  <c r="I13" i="5"/>
  <c r="I14" i="5"/>
  <c r="I15" i="5"/>
  <c r="S5" i="5"/>
  <c r="I5" i="11"/>
  <c r="I9" i="11"/>
  <c r="I19" i="11"/>
  <c r="I20" i="11"/>
  <c r="O17" i="11"/>
  <c r="C13" i="20"/>
  <c r="D13" i="20" s="1"/>
  <c r="D14" i="20" s="1"/>
  <c r="E14" i="20" s="1"/>
  <c r="C7" i="20"/>
  <c r="H5" i="19" s="1"/>
  <c r="L5" i="19"/>
  <c r="L9" i="19"/>
  <c r="L20" i="19"/>
  <c r="K17" i="6"/>
  <c r="K21" i="6"/>
  <c r="I25" i="9"/>
  <c r="I5" i="13" l="1"/>
  <c r="H5" i="13"/>
  <c r="J5" i="13" s="1"/>
  <c r="O35" i="5"/>
  <c r="Q5" i="5" s="1"/>
  <c r="Q6" i="5" s="1"/>
  <c r="H5" i="5"/>
  <c r="J5" i="5" s="1"/>
  <c r="S9" i="5"/>
  <c r="S23" i="5" s="1"/>
  <c r="S24" i="5" s="1"/>
  <c r="S25" i="5" s="1"/>
  <c r="G17" i="11"/>
  <c r="H17" i="11" s="1"/>
  <c r="J17" i="11" s="1"/>
  <c r="H9" i="13"/>
  <c r="J9" i="13" s="1"/>
  <c r="I24" i="11"/>
  <c r="I25" i="11" s="1"/>
  <c r="I26" i="11" s="1"/>
  <c r="K5" i="19"/>
  <c r="M5" i="19" s="1"/>
  <c r="H5" i="11"/>
  <c r="J5" i="11" s="1"/>
  <c r="G6" i="11"/>
  <c r="H9" i="5"/>
  <c r="J9" i="5" s="1"/>
  <c r="I9" i="5"/>
  <c r="I23" i="5" s="1"/>
  <c r="R6" i="5"/>
  <c r="T6" i="5" s="1"/>
  <c r="Q7" i="5"/>
  <c r="H10" i="5"/>
  <c r="J10" i="5" s="1"/>
  <c r="G11" i="5"/>
  <c r="H6" i="5"/>
  <c r="J6" i="5" s="1"/>
  <c r="G7" i="5"/>
  <c r="R16" i="5"/>
  <c r="T16" i="5" s="1"/>
  <c r="Q17" i="5"/>
  <c r="R5" i="5"/>
  <c r="T5" i="5" s="1"/>
  <c r="I24" i="13"/>
  <c r="I25" i="13" s="1"/>
  <c r="I26" i="13" s="1"/>
  <c r="H22" i="19"/>
  <c r="H20" i="19"/>
  <c r="H21" i="19"/>
  <c r="H17" i="19"/>
  <c r="H19" i="19"/>
  <c r="H18" i="19"/>
  <c r="H16" i="19"/>
  <c r="H11" i="19"/>
  <c r="H4" i="19"/>
  <c r="H9" i="19"/>
  <c r="H10" i="19"/>
  <c r="G18" i="11"/>
  <c r="G10" i="11"/>
  <c r="G17" i="5"/>
  <c r="Q11" i="5"/>
  <c r="J17" i="19"/>
  <c r="J11" i="19"/>
  <c r="J6" i="19"/>
  <c r="G17" i="13"/>
  <c r="G11" i="13"/>
  <c r="G7" i="13"/>
  <c r="H14" i="19"/>
  <c r="H13" i="19"/>
  <c r="H7" i="19"/>
  <c r="H8" i="19"/>
  <c r="F23" i="19"/>
  <c r="L4" i="19"/>
  <c r="L24" i="19" s="1"/>
  <c r="L25" i="19" s="1"/>
  <c r="L26" i="19" s="1"/>
  <c r="H6" i="19"/>
  <c r="H12" i="19"/>
  <c r="H15" i="19"/>
  <c r="I24" i="5" l="1"/>
  <c r="I25" i="5" s="1"/>
  <c r="H7" i="13"/>
  <c r="J7" i="13" s="1"/>
  <c r="G8" i="13"/>
  <c r="H8" i="13" s="1"/>
  <c r="J8" i="13" s="1"/>
  <c r="K11" i="19"/>
  <c r="M11" i="19" s="1"/>
  <c r="J12" i="19"/>
  <c r="R11" i="5"/>
  <c r="T11" i="5" s="1"/>
  <c r="Q12" i="5"/>
  <c r="H11" i="13"/>
  <c r="J11" i="13" s="1"/>
  <c r="G12" i="13"/>
  <c r="K6" i="19"/>
  <c r="M6" i="19" s="1"/>
  <c r="J7" i="19"/>
  <c r="K17" i="19"/>
  <c r="M17" i="19" s="1"/>
  <c r="J18" i="19"/>
  <c r="H17" i="5"/>
  <c r="J17" i="5" s="1"/>
  <c r="G18" i="5"/>
  <c r="H18" i="11"/>
  <c r="J18" i="11" s="1"/>
  <c r="G19" i="11"/>
  <c r="H17" i="13"/>
  <c r="J17" i="13" s="1"/>
  <c r="G18" i="13"/>
  <c r="H10" i="11"/>
  <c r="J10" i="11" s="1"/>
  <c r="G11" i="11"/>
  <c r="R17" i="5"/>
  <c r="T17" i="5" s="1"/>
  <c r="Q18" i="5"/>
  <c r="H7" i="5"/>
  <c r="J7" i="5" s="1"/>
  <c r="G8" i="5"/>
  <c r="H8" i="5" s="1"/>
  <c r="J8" i="5" s="1"/>
  <c r="H11" i="5"/>
  <c r="J11" i="5" s="1"/>
  <c r="G12" i="5"/>
  <c r="R7" i="5"/>
  <c r="T7" i="5" s="1"/>
  <c r="Q8" i="5"/>
  <c r="R8" i="5" s="1"/>
  <c r="T8" i="5" s="1"/>
  <c r="H6" i="11"/>
  <c r="J6" i="11" s="1"/>
  <c r="G7" i="11"/>
  <c r="H7" i="11" l="1"/>
  <c r="J7" i="11" s="1"/>
  <c r="G8" i="11"/>
  <c r="H8" i="11" s="1"/>
  <c r="J8" i="11" s="1"/>
  <c r="H12" i="5"/>
  <c r="J12" i="5" s="1"/>
  <c r="G13" i="5"/>
  <c r="R18" i="5"/>
  <c r="T18" i="5" s="1"/>
  <c r="Q19" i="5"/>
  <c r="H11" i="11"/>
  <c r="J11" i="11" s="1"/>
  <c r="G12" i="11"/>
  <c r="H18" i="13"/>
  <c r="J18" i="13" s="1"/>
  <c r="G19" i="13"/>
  <c r="H19" i="11"/>
  <c r="J19" i="11" s="1"/>
  <c r="G20" i="11"/>
  <c r="H20" i="11" s="1"/>
  <c r="J20" i="11" s="1"/>
  <c r="H18" i="5"/>
  <c r="J18" i="5" s="1"/>
  <c r="G19" i="5"/>
  <c r="K18" i="19"/>
  <c r="M18" i="19" s="1"/>
  <c r="J19" i="19"/>
  <c r="K7" i="19"/>
  <c r="M7" i="19" s="1"/>
  <c r="J8" i="19"/>
  <c r="K8" i="19" s="1"/>
  <c r="M8" i="19" s="1"/>
  <c r="H12" i="13"/>
  <c r="J12" i="13" s="1"/>
  <c r="G13" i="13"/>
  <c r="R12" i="5"/>
  <c r="T12" i="5" s="1"/>
  <c r="Q13" i="5"/>
  <c r="K12" i="19"/>
  <c r="M12" i="19" s="1"/>
  <c r="J13" i="19"/>
  <c r="K13" i="19" l="1"/>
  <c r="M13" i="19" s="1"/>
  <c r="J14" i="19"/>
  <c r="R13" i="5"/>
  <c r="T13" i="5" s="1"/>
  <c r="Q14" i="5"/>
  <c r="H13" i="13"/>
  <c r="J13" i="13" s="1"/>
  <c r="G14" i="13"/>
  <c r="K19" i="19"/>
  <c r="M19" i="19" s="1"/>
  <c r="J20" i="19"/>
  <c r="K20" i="19" s="1"/>
  <c r="M20" i="19" s="1"/>
  <c r="H19" i="5"/>
  <c r="J19" i="5" s="1"/>
  <c r="G20" i="5"/>
  <c r="H20" i="5" s="1"/>
  <c r="J20" i="5" s="1"/>
  <c r="H19" i="13"/>
  <c r="J19" i="13" s="1"/>
  <c r="G20" i="13"/>
  <c r="H20" i="13" s="1"/>
  <c r="J20" i="13" s="1"/>
  <c r="H12" i="11"/>
  <c r="J12" i="11" s="1"/>
  <c r="G13" i="11"/>
  <c r="R19" i="5"/>
  <c r="T19" i="5" s="1"/>
  <c r="Q20" i="5"/>
  <c r="R20" i="5" s="1"/>
  <c r="T20" i="5" s="1"/>
  <c r="H13" i="5"/>
  <c r="J13" i="5" s="1"/>
  <c r="G14" i="5"/>
  <c r="S13" i="11"/>
  <c r="T13" i="11"/>
  <c r="N24" i="19" l="1"/>
  <c r="D38" i="20"/>
  <c r="D44" i="20" s="1"/>
  <c r="N25" i="19"/>
  <c r="N26" i="19" s="1"/>
  <c r="H14" i="5"/>
  <c r="J14" i="5" s="1"/>
  <c r="J23" i="5" s="1"/>
  <c r="J24" i="5" s="1"/>
  <c r="J25" i="5" s="1"/>
  <c r="G15" i="5"/>
  <c r="H15" i="5" s="1"/>
  <c r="J15" i="5" s="1"/>
  <c r="H13" i="11"/>
  <c r="J13" i="11" s="1"/>
  <c r="G14" i="11"/>
  <c r="H14" i="13"/>
  <c r="J14" i="13" s="1"/>
  <c r="J24" i="13" s="1"/>
  <c r="J25" i="13" s="1"/>
  <c r="J26" i="13" s="1"/>
  <c r="E6" i="16" s="1"/>
  <c r="G15" i="13"/>
  <c r="H15" i="13" s="1"/>
  <c r="J15" i="13" s="1"/>
  <c r="R14" i="5"/>
  <c r="T14" i="5" s="1"/>
  <c r="T23" i="5" s="1"/>
  <c r="T24" i="5" s="1"/>
  <c r="T25" i="5" s="1"/>
  <c r="Q15" i="5"/>
  <c r="R15" i="5" s="1"/>
  <c r="T15" i="5" s="1"/>
  <c r="K14" i="19"/>
  <c r="M14" i="19" s="1"/>
  <c r="O24" i="19" s="1"/>
  <c r="J15" i="19"/>
  <c r="K15" i="19" s="1"/>
  <c r="M15" i="19" s="1"/>
  <c r="M24" i="19" l="1"/>
  <c r="M25" i="19" s="1"/>
  <c r="M26" i="19" s="1"/>
  <c r="E7" i="16" s="1"/>
  <c r="T27" i="5"/>
  <c r="E4" i="16"/>
  <c r="E3" i="16"/>
  <c r="J27" i="5"/>
  <c r="D40" i="20"/>
  <c r="O25" i="19"/>
  <c r="O26" i="19" s="1"/>
  <c r="S12" i="11"/>
  <c r="S15" i="11" s="1"/>
  <c r="T12" i="11"/>
  <c r="T15" i="11" s="1"/>
  <c r="H14" i="11"/>
  <c r="J14" i="11" s="1"/>
  <c r="G15" i="11"/>
  <c r="H15" i="11" s="1"/>
  <c r="J15" i="11" s="1"/>
  <c r="D41" i="20" l="1"/>
  <c r="D43" i="20" s="1"/>
  <c r="D46" i="20"/>
  <c r="D53" i="20" s="1"/>
  <c r="F6" i="16"/>
  <c r="F7" i="16"/>
  <c r="J24" i="11"/>
  <c r="J25" i="11" s="1"/>
  <c r="J26" i="11" s="1"/>
  <c r="E5" i="16" s="1"/>
  <c r="F5" i="16" s="1"/>
  <c r="D59" i="20" l="1"/>
  <c r="D67" i="20" l="1"/>
  <c r="D70" i="20"/>
  <c r="D73" i="20"/>
  <c r="D74" i="20"/>
  <c r="H42" i="22"/>
  <c r="H45" i="22"/>
  <c r="D47" i="20"/>
  <c r="D48" i="20"/>
  <c r="D51" i="20" s="1"/>
  <c r="D18" i="15"/>
  <c r="G18" i="15"/>
  <c r="D23" i="15"/>
  <c r="I55" i="6"/>
  <c r="K55" i="6"/>
  <c r="L55" i="6" s="1"/>
  <c r="J50" i="6"/>
  <c r="K50" i="6" s="1"/>
  <c r="L50" i="6" s="1"/>
  <c r="I50" i="6"/>
  <c r="K56" i="6"/>
  <c r="L56" i="6" s="1"/>
  <c r="H52" i="22"/>
  <c r="H51" i="22"/>
  <c r="D55" i="20" l="1"/>
  <c r="I8" i="20" s="1"/>
  <c r="D57" i="20"/>
  <c r="D54" i="20"/>
  <c r="D56" i="20" s="1"/>
  <c r="D69" i="20" l="1"/>
  <c r="D71" i="20" s="1"/>
  <c r="D68" i="20"/>
  <c r="E8" i="16"/>
  <c r="D75" i="20" l="1"/>
  <c r="D76" i="20"/>
  <c r="D78" i="20" s="1"/>
  <c r="F8" i="16"/>
  <c r="D79" i="20" l="1"/>
  <c r="I10" i="20" s="1"/>
  <c r="D77" i="20"/>
  <c r="I9" i="20" s="1"/>
  <c r="I11" i="20" l="1"/>
  <c r="E9" i="16"/>
  <c r="F9" i="16" l="1"/>
  <c r="E10" i="16"/>
  <c r="F10" i="16" l="1"/>
  <c r="F11" i="16" s="1"/>
  <c r="E11" i="16"/>
</calcChain>
</file>

<file path=xl/comments1.xml><?xml version="1.0" encoding="utf-8"?>
<comments xmlns="http://schemas.openxmlformats.org/spreadsheetml/2006/main">
  <authors>
    <author>Emergent Ventures</author>
  </authors>
  <commentList>
    <comment ref="B46" authorId="0" shapeId="0">
      <text>
        <r>
          <rPr>
            <b/>
            <sz val="9"/>
            <color indexed="81"/>
            <rFont val="Tahoma"/>
            <family val="2"/>
          </rPr>
          <t>Emergent Ventures:</t>
        </r>
        <r>
          <rPr>
            <sz val="9"/>
            <color indexed="81"/>
            <rFont val="Tahoma"/>
            <family val="2"/>
          </rPr>
          <t xml:space="preserve">
New links
</t>
        </r>
      </text>
    </comment>
    <comment ref="B47" authorId="0" shapeId="0">
      <text>
        <r>
          <rPr>
            <b/>
            <sz val="9"/>
            <color indexed="81"/>
            <rFont val="Tahoma"/>
            <family val="2"/>
          </rPr>
          <t>Emergent Ventures:</t>
        </r>
        <r>
          <rPr>
            <sz val="9"/>
            <color indexed="81"/>
            <rFont val="Tahoma"/>
            <family val="2"/>
          </rPr>
          <t xml:space="preserve">
Road along nala
</t>
        </r>
      </text>
    </comment>
  </commentList>
</comments>
</file>

<file path=xl/comments2.xml><?xml version="1.0" encoding="utf-8"?>
<comments xmlns="http://schemas.openxmlformats.org/spreadsheetml/2006/main">
  <authors>
    <author>Emergent Ventures</author>
  </authors>
  <commentList>
    <comment ref="B8" authorId="0" shapeId="0">
      <text>
        <r>
          <rPr>
            <b/>
            <sz val="9"/>
            <color indexed="81"/>
            <rFont val="Tahoma"/>
            <family val="2"/>
          </rPr>
          <t>Emergent Ventures:</t>
        </r>
        <r>
          <rPr>
            <sz val="9"/>
            <color indexed="81"/>
            <rFont val="Tahoma"/>
            <family val="2"/>
          </rPr>
          <t xml:space="preserve">
Considered to be 4-lane
</t>
        </r>
      </text>
    </comment>
    <comment ref="G13" authorId="0" shapeId="0">
      <text>
        <r>
          <rPr>
            <b/>
            <sz val="9"/>
            <color indexed="81"/>
            <rFont val="Tahoma"/>
            <family val="2"/>
          </rPr>
          <t>Emergent Ventures:</t>
        </r>
        <r>
          <rPr>
            <sz val="9"/>
            <color indexed="81"/>
            <rFont val="Tahoma"/>
            <family val="2"/>
          </rPr>
          <t xml:space="preserve">
Single lane emission factor per km is considered to be 60% of 2 to 4 lane</t>
        </r>
      </text>
    </comment>
  </commentList>
</comments>
</file>

<file path=xl/sharedStrings.xml><?xml version="1.0" encoding="utf-8"?>
<sst xmlns="http://schemas.openxmlformats.org/spreadsheetml/2006/main" count="975" uniqueCount="450">
  <si>
    <t>Bus Fleet Augumentation</t>
  </si>
  <si>
    <t>BRTS</t>
  </si>
  <si>
    <t>MRTS</t>
  </si>
  <si>
    <t>NMT - Separated Grade Facility</t>
  </si>
  <si>
    <t>NMT - Bicycle Lanes</t>
  </si>
  <si>
    <t>Fright Facilities / Truck Terminals</t>
  </si>
  <si>
    <t>Junction Improvements / Traffic Management</t>
  </si>
  <si>
    <t>Signal Coordination and Optimazation</t>
  </si>
  <si>
    <t>Traffic Management / Pavements Marking and Signage</t>
  </si>
  <si>
    <t>Bus Shelter and Bus Bays</t>
  </si>
  <si>
    <t>NMT Facilities - Walkable Footpath</t>
  </si>
  <si>
    <t>Road Widening</t>
  </si>
  <si>
    <t>Public Transport Facilities - Bus Terminals</t>
  </si>
  <si>
    <t>Mono Rail Transit</t>
  </si>
  <si>
    <t>Intermodal Terminals</t>
  </si>
  <si>
    <t xml:space="preserve">Policy measure </t>
  </si>
  <si>
    <t>Unit</t>
  </si>
  <si>
    <t>No</t>
  </si>
  <si>
    <t>Year from base</t>
  </si>
  <si>
    <t>Trip Information</t>
  </si>
  <si>
    <t>2009 Baseline</t>
  </si>
  <si>
    <t>2031 - BAU</t>
  </si>
  <si>
    <t>2031 CMP</t>
  </si>
  <si>
    <t>TW</t>
  </si>
  <si>
    <t>Car</t>
  </si>
  <si>
    <t>AR</t>
  </si>
  <si>
    <t>Taxi</t>
  </si>
  <si>
    <t>Total - PT</t>
  </si>
  <si>
    <t>PT - Bus %</t>
  </si>
  <si>
    <t>PT  - Trips % Additonal Buses</t>
  </si>
  <si>
    <t>PT - Trips % BRTS</t>
  </si>
  <si>
    <t>PT - Trips % MRTS</t>
  </si>
  <si>
    <t>Total</t>
  </si>
  <si>
    <t>PT Trips Breakup</t>
  </si>
  <si>
    <t xml:space="preserve">% of PT in CMP </t>
  </si>
  <si>
    <t>Commuter Rail</t>
  </si>
  <si>
    <t>S. No</t>
  </si>
  <si>
    <t>Category</t>
  </si>
  <si>
    <t xml:space="preserve">Bus </t>
  </si>
  <si>
    <t>Bus</t>
  </si>
  <si>
    <t>Peak hour trips</t>
  </si>
  <si>
    <t>Total trips</t>
  </si>
  <si>
    <t>Screenline</t>
  </si>
  <si>
    <t>Midblock</t>
  </si>
  <si>
    <t>Outer Cordon</t>
  </si>
  <si>
    <t>Analysis of Peak Hour Trips as % of Total Trips</t>
  </si>
  <si>
    <t>Average PT Trip Length</t>
  </si>
  <si>
    <t>Average PV Trip Length</t>
  </si>
  <si>
    <t>Average Network Speed</t>
  </si>
  <si>
    <t>Average Occupancy</t>
  </si>
  <si>
    <t>Auto</t>
  </si>
  <si>
    <t>Buses</t>
  </si>
  <si>
    <t>Fuel Type</t>
  </si>
  <si>
    <t>Petrol</t>
  </si>
  <si>
    <t>Diesel</t>
  </si>
  <si>
    <t>CNG</t>
  </si>
  <si>
    <t>KM</t>
  </si>
  <si>
    <t>Major Impact</t>
  </si>
  <si>
    <t>Modal Shift</t>
  </si>
  <si>
    <t>Number of Trips</t>
  </si>
  <si>
    <t>Parameter</t>
  </si>
  <si>
    <t xml:space="preserve">Network Speed </t>
  </si>
  <si>
    <t>Yes</t>
  </si>
  <si>
    <t>Major Construction Impact</t>
  </si>
  <si>
    <t>UoM</t>
  </si>
  <si>
    <t>Litre</t>
  </si>
  <si>
    <t>KG</t>
  </si>
  <si>
    <t>Electricity</t>
  </si>
  <si>
    <t>kWh</t>
  </si>
  <si>
    <t>Emissions Factor (KG CO2 / UoM)</t>
  </si>
  <si>
    <t>Average IPT Trip Length</t>
  </si>
  <si>
    <t>Vehicle Type</t>
  </si>
  <si>
    <t>Cars</t>
  </si>
  <si>
    <t>Vehicles Fuels Split</t>
  </si>
  <si>
    <t>Passenger Tempo</t>
  </si>
  <si>
    <t>Mini Buses</t>
  </si>
  <si>
    <t>Mini Bus</t>
  </si>
  <si>
    <t>2W 2s / 4s</t>
  </si>
  <si>
    <t>petrol</t>
  </si>
  <si>
    <t>diesel</t>
  </si>
  <si>
    <t xml:space="preserve">Taxi </t>
  </si>
  <si>
    <t>LPG</t>
  </si>
  <si>
    <t xml:space="preserve">3W 2s/4s </t>
  </si>
  <si>
    <t>Speed</t>
  </si>
  <si>
    <t>2W</t>
  </si>
  <si>
    <t>3W</t>
  </si>
  <si>
    <t>LCV</t>
  </si>
  <si>
    <t>HCV</t>
  </si>
  <si>
    <t>Speed - Emissions Factor; Assuming 50 to be ideal</t>
  </si>
  <si>
    <t>Emissions per passenger per km at ideal speed</t>
  </si>
  <si>
    <t xml:space="preserve">Source: TEEMP </t>
  </si>
  <si>
    <t xml:space="preserve">% of Vehicle Population in year 2010 </t>
  </si>
  <si>
    <t>3W Passenger Tempo</t>
  </si>
  <si>
    <t>3W passenger tempo</t>
  </si>
  <si>
    <t>Passenger Trips</t>
  </si>
  <si>
    <t>Average Trip Length</t>
  </si>
  <si>
    <t>Emissions at ideal mileage</t>
  </si>
  <si>
    <t>Impact of reduced network speed</t>
  </si>
  <si>
    <t>Higher Category</t>
  </si>
  <si>
    <t>Cars / Taxis</t>
  </si>
  <si>
    <t xml:space="preserve">Lower Category </t>
  </si>
  <si>
    <t>Lower category speed no</t>
  </si>
  <si>
    <t>Higher category speed no</t>
  </si>
  <si>
    <t>At network speed</t>
  </si>
  <si>
    <t>Emissions at network speed</t>
  </si>
  <si>
    <t>Network Speed Impact</t>
  </si>
  <si>
    <t>Peak hour trips to total trips ratio</t>
  </si>
  <si>
    <t>Peak Hour Total Emissions</t>
  </si>
  <si>
    <t>Total CO2 emissions per day</t>
  </si>
  <si>
    <t>Total Emissions per year</t>
  </si>
  <si>
    <t>Emissions at ideal speed (tonnes)</t>
  </si>
  <si>
    <t>Emissions at present network speed(tonnes)</t>
  </si>
  <si>
    <t>the row at 10 km per hour speed is added using extrapolation</t>
  </si>
  <si>
    <t>Peak Hour to Total Trip Ratio</t>
  </si>
  <si>
    <t>Monorail</t>
  </si>
  <si>
    <t>% of Vehicle Population in year 2030 in BAU</t>
  </si>
  <si>
    <t>% of Vehicle Population in year 2030 in CMP</t>
  </si>
  <si>
    <t>1 km of infrastructure</t>
  </si>
  <si>
    <t>Description</t>
  </si>
  <si>
    <t>Source</t>
  </si>
  <si>
    <t xml:space="preserve">Considering only the quantity of steel, cement and asphalt. </t>
  </si>
  <si>
    <t xml:space="preserve">Assuming material quantity - Cement -737.8 tons/km, Asphalt - 403.5 tons/km and Steel - 143.2 tons/km. A multiplier of 1.75 has been proposed for actual construction works based on Kwangho Park, et. al. (2003),. Estimates from Mexico BRTS ( Lee at al.) and Transmilenio ( monitoring report) have indicated 3475 and 1390 tons . </t>
  </si>
  <si>
    <t>Bikeways</t>
  </si>
  <si>
    <t>Assuming material quantity - Cement -15.5 tons/km, Asphalt - 40 tons/km and Steel - 1 tons/km for constructing 1km of  2.5 m wide bikeway</t>
  </si>
  <si>
    <t>2 lines for 80% elevated and 20% underground</t>
  </si>
  <si>
    <r>
      <t>Bangalore metro calculations using quantity of materials used - steel and cement.  Research from japan as summarized in TEEMP model indicates a range between 7119 to 19487 tons of CO</t>
    </r>
    <r>
      <rPr>
        <vertAlign val="subscript"/>
        <sz val="10"/>
        <color theme="1"/>
        <rFont val="Calibri"/>
        <family val="2"/>
        <scheme val="minor"/>
      </rPr>
      <t>2</t>
    </r>
  </si>
  <si>
    <t>Railways</t>
  </si>
  <si>
    <t>Considering only the quantity of steel and concrete for single track</t>
  </si>
  <si>
    <r>
      <t>Assuming a track requires 570 tons of concrete and 117 tons of steel, 350 tons of CO</t>
    </r>
    <r>
      <rPr>
        <vertAlign val="subscript"/>
        <sz val="10"/>
        <color theme="1"/>
        <rFont val="Calibri"/>
        <family val="2"/>
        <scheme val="minor"/>
      </rPr>
      <t xml:space="preserve">2 </t>
    </r>
    <r>
      <rPr>
        <sz val="10"/>
        <color theme="1"/>
        <rFont val="Calibri"/>
        <family val="2"/>
        <scheme val="minor"/>
      </rPr>
      <t>is generated during material production. Scotland Transport depatment recommends 500 tons of CO2 per track based on material production.A multiplier of 1.75 has been proposed for actual construction works based on Kwangho Park, et. al. (2003) for Road works</t>
    </r>
  </si>
  <si>
    <t xml:space="preserve">Considering only the quantity of steel, cement and asphalt for a four lane road </t>
  </si>
  <si>
    <t xml:space="preserve">An analysis based on the quantity of construction materials used – cement, steel and bitumen indicates that the approximate emissions of a two lane to four lane improved highway is approximate 1100 tons/km. When all the quantities are considered including the emissions generated by machinery, the emissions range from 2100 to 2400 tons/km for high-speed roads  (four-lanes) based on traffic, topography and type of improvements suggested. </t>
  </si>
  <si>
    <t>An analysis based on the quantity of construction materials used – cement, steel and bitumen indicates that the approximate emissions of a two lane to four lane improved highway is approximate 1100 tons/km.</t>
  </si>
  <si>
    <t>Roads (4 Lane)</t>
  </si>
  <si>
    <t>Roads (conversion of 2 to 4 lane)</t>
  </si>
  <si>
    <t>Activity</t>
  </si>
  <si>
    <t>Emissions Factor per KM (Tonnes)</t>
  </si>
  <si>
    <t>Total Emissions (Tonnes)</t>
  </si>
  <si>
    <t>V/ C1</t>
  </si>
  <si>
    <t>=</t>
  </si>
  <si>
    <t>V/C2</t>
  </si>
  <si>
    <t>V:</t>
  </si>
  <si>
    <t>Traffic volume in 2031</t>
  </si>
  <si>
    <t>C1:</t>
  </si>
  <si>
    <t>Capacity of road network without CMP</t>
  </si>
  <si>
    <t>C2:</t>
  </si>
  <si>
    <t>Capacity of road network withCMP</t>
  </si>
  <si>
    <t>Induction Effect</t>
  </si>
  <si>
    <t xml:space="preserve">New traffic due to induction effect </t>
  </si>
  <si>
    <t>of the new capacity added</t>
  </si>
  <si>
    <t>V(New)/C2</t>
  </si>
  <si>
    <t>[V+ 0.65*(C2-C1)]/C2</t>
  </si>
  <si>
    <t>Network speeds achieved</t>
  </si>
  <si>
    <t>Name of the road</t>
  </si>
  <si>
    <t>Agra Road</t>
  </si>
  <si>
    <t>Tonk Road</t>
  </si>
  <si>
    <t>Ajmer Road</t>
  </si>
  <si>
    <t xml:space="preserve">M I Road </t>
  </si>
  <si>
    <t xml:space="preserve">Sikar Road </t>
  </si>
  <si>
    <t>Grand Average</t>
  </si>
  <si>
    <t>Volume and Capacity Results of Major Road Network of City</t>
  </si>
  <si>
    <t>2031 Mobility Plan V/C2 average</t>
  </si>
  <si>
    <t>2031 Do Nothing V/C1 average</t>
  </si>
  <si>
    <t>Improvement</t>
  </si>
  <si>
    <t>emissions per trip from PV &amp; IPT</t>
  </si>
  <si>
    <t>emissions per trip from PT</t>
  </si>
  <si>
    <t>MC-two</t>
  </si>
  <si>
    <t>P</t>
  </si>
  <si>
    <t>Two Stroke</t>
  </si>
  <si>
    <t>Four Stroke</t>
  </si>
  <si>
    <t>NO data</t>
  </si>
  <si>
    <t>MC-three</t>
  </si>
  <si>
    <t>PC</t>
  </si>
  <si>
    <t>Pre Euro</t>
  </si>
  <si>
    <t>Euro I</t>
  </si>
  <si>
    <t>Euro 2</t>
  </si>
  <si>
    <t>Euro 3 and Above</t>
  </si>
  <si>
    <t>D</t>
  </si>
  <si>
    <t>Euro II</t>
  </si>
  <si>
    <t>Euro III and Above</t>
  </si>
  <si>
    <t>BUS</t>
  </si>
  <si>
    <t>Fuel Consumption L/100 KM</t>
  </si>
  <si>
    <t>CO2 emissions factor for fuel type</t>
  </si>
  <si>
    <t>Emissions per KM</t>
  </si>
  <si>
    <t xml:space="preserve">Occupancy </t>
  </si>
  <si>
    <t>Per Passenger Per KM</t>
  </si>
  <si>
    <t>Technology</t>
  </si>
  <si>
    <t>Grid Emissions Factor (2010)</t>
  </si>
  <si>
    <t>%</t>
  </si>
  <si>
    <t xml:space="preserve">Current Grid Emissions Factor </t>
  </si>
  <si>
    <t>CEA Source</t>
  </si>
  <si>
    <t xml:space="preserve">Scenario for BAU and 2030 Grid Emissions Factors </t>
  </si>
  <si>
    <t>Jaipur 2030</t>
  </si>
  <si>
    <t>Delhi 2008</t>
  </si>
  <si>
    <t>Units</t>
  </si>
  <si>
    <t>Year</t>
  </si>
  <si>
    <t>Daily Passenger</t>
  </si>
  <si>
    <t>Trip Length</t>
  </si>
  <si>
    <t>Daily Passenger Km</t>
  </si>
  <si>
    <t>Units / Pass Km</t>
  </si>
  <si>
    <t>GHG emiss</t>
  </si>
  <si>
    <t>Total Elevated Length</t>
  </si>
  <si>
    <t>Total Underground Length</t>
  </si>
  <si>
    <t>Total elevated length %</t>
  </si>
  <si>
    <t>Bangalore Metro Scenario</t>
  </si>
  <si>
    <t>Annual Pass Km</t>
  </si>
  <si>
    <t>% total elevated length</t>
  </si>
  <si>
    <t>Average</t>
  </si>
  <si>
    <t>Bangalore 2030</t>
  </si>
  <si>
    <t>Avoid Scenario</t>
  </si>
  <si>
    <t>Elimate trips</t>
  </si>
  <si>
    <t>Reduce percentage</t>
  </si>
  <si>
    <t>Trip length reduction</t>
  </si>
  <si>
    <t>Additional Modal Shift</t>
  </si>
  <si>
    <t xml:space="preserve">From </t>
  </si>
  <si>
    <t>To</t>
  </si>
  <si>
    <t>PT</t>
  </si>
  <si>
    <t>PV / IPT</t>
  </si>
  <si>
    <t>Veh_category</t>
  </si>
  <si>
    <t>Passenger Trips in CMP</t>
  </si>
  <si>
    <t>Passenger Trips in MCMP</t>
  </si>
  <si>
    <t>Average Trip Length in CMP</t>
  </si>
  <si>
    <t>Average trip length in MCMP</t>
  </si>
  <si>
    <t xml:space="preserve">PV/IPT </t>
  </si>
  <si>
    <t xml:space="preserve">Total Trips Info in Avoid Scenario </t>
  </si>
  <si>
    <t xml:space="preserve">PT </t>
  </si>
  <si>
    <t>New Shift Percentage</t>
  </si>
  <si>
    <t>Addition</t>
  </si>
  <si>
    <t xml:space="preserve">Ring Road </t>
  </si>
  <si>
    <t>4-Lane Roads</t>
  </si>
  <si>
    <t>Single Lane</t>
  </si>
  <si>
    <t>Total KM</t>
  </si>
  <si>
    <t>2021-2031</t>
  </si>
  <si>
    <t>2016-2021</t>
  </si>
  <si>
    <t>2010-2016</t>
  </si>
  <si>
    <t>Base Year</t>
  </si>
  <si>
    <t>Case Selected (Jaipur/Average)</t>
  </si>
  <si>
    <t>Motorised Transport baseline shares by mode</t>
  </si>
  <si>
    <t>Included Below</t>
  </si>
  <si>
    <t>PV, IPT</t>
  </si>
  <si>
    <t>Initial Travel Demand</t>
  </si>
  <si>
    <t>Initial emissions (PT)</t>
  </si>
  <si>
    <t>Initial emissions (IPT)</t>
  </si>
  <si>
    <t>Initial emissions (PV+ IPT)</t>
  </si>
  <si>
    <t>Total Emissions</t>
  </si>
  <si>
    <t>Scenario simulations for ALIShA</t>
  </si>
  <si>
    <t>Emissions Reduction (PT)</t>
  </si>
  <si>
    <t>Emissions Reduction (IPT)</t>
  </si>
  <si>
    <t>Emissions Reduction (PV, IPT)</t>
  </si>
  <si>
    <t>Emissions (PT)</t>
  </si>
  <si>
    <t>Emissions (IPT)</t>
  </si>
  <si>
    <t>Emissions (PV, IPT)</t>
  </si>
  <si>
    <t>Initial emissions</t>
  </si>
  <si>
    <t>Load Factor enhancement</t>
  </si>
  <si>
    <t>Initial emissions (PV, IPT)</t>
  </si>
  <si>
    <t>Reduction potential 10% Shift</t>
  </si>
  <si>
    <t>Emissions (PT) 10% Shift</t>
  </si>
  <si>
    <t>Total Emssions 10%</t>
  </si>
  <si>
    <t>Emission Reduction 10% Absolute</t>
  </si>
  <si>
    <t>Additional green measures</t>
  </si>
  <si>
    <t>Bus based PT share</t>
  </si>
  <si>
    <t>Rail based PT share</t>
  </si>
  <si>
    <t>Eco Driving : Emission reduction potential</t>
  </si>
  <si>
    <t>Ref: TEEMP</t>
  </si>
  <si>
    <t>Eco Driving : Adoption ratio</t>
  </si>
  <si>
    <t>CNG Buses: Emission reduction potential</t>
  </si>
  <si>
    <t>Ref: CNG emisison reduction -http://www.carbontrust.co.uk/cut-carbon-reduce-costs/calculate/carbon-footprinting/pages/conversion-factors.aspx</t>
  </si>
  <si>
    <t>20% Renewable power Rail : Emission reduction potential</t>
  </si>
  <si>
    <t>Electric Cars @10% penetration</t>
  </si>
  <si>
    <t>Eco Driving: Emission Reduction</t>
  </si>
  <si>
    <t>CNG Buses: Emission Reduction</t>
  </si>
  <si>
    <t>RE power: Emission Reduction</t>
  </si>
  <si>
    <t>Emission Reduction Extra (Electric Cars)</t>
  </si>
  <si>
    <t>Load factor improvement</t>
  </si>
  <si>
    <t>Other green measures</t>
  </si>
  <si>
    <t>Electric Cars</t>
  </si>
  <si>
    <t>Emissions (PV, IPT) (With Electric Cars)</t>
  </si>
  <si>
    <t>Total emissions without Electric Cars</t>
  </si>
  <si>
    <t>Total emissions (With Electric Cars)</t>
  </si>
  <si>
    <t>Emission Reduction (With Electric Cars)</t>
  </si>
  <si>
    <t>Emission Reduction (Without Electric Cars)</t>
  </si>
  <si>
    <t>GHG Emissions at network speed</t>
  </si>
  <si>
    <t>CMP Emissions Baseline (Year 2009)</t>
  </si>
  <si>
    <t>CMP Emissions Business As Usual (2030)</t>
  </si>
  <si>
    <t>Vehicle Category</t>
  </si>
  <si>
    <t>Total Trips</t>
  </si>
  <si>
    <t>CMP Emissions in CMP Implementation Scenario ( CMP As Is - 2030)</t>
  </si>
  <si>
    <t>CMP Emissions considering induction effect (2030)</t>
  </si>
  <si>
    <t xml:space="preserve">Total Trips </t>
  </si>
  <si>
    <t>Additional Measures Impact on CMP (MCMP - 2030)</t>
  </si>
  <si>
    <t>Tonnes of CO2</t>
  </si>
  <si>
    <t>Service Life in Years</t>
  </si>
  <si>
    <t>Per Year Emissions</t>
  </si>
  <si>
    <t>CMP Observed Average Occupancy of Vehicles</t>
  </si>
  <si>
    <t>CMP Data Modal Shift, Trip Lengths and Network Speed</t>
  </si>
  <si>
    <t>CMP Policies - Construction Related Data</t>
  </si>
  <si>
    <t>IPCC</t>
  </si>
  <si>
    <t>Central Electricity Authority, India</t>
  </si>
  <si>
    <t>Assumption</t>
  </si>
  <si>
    <t>(For a vehicle category the CO2 emissions are the average of subcategories )</t>
  </si>
  <si>
    <t>Vehicle Category  CO2 emissions per KM (Source: Automotive Research Association of India, ARAI)</t>
  </si>
  <si>
    <t>Sample Per Passenger Per KM Calculation for Metro Systems (Source of Data: Detailed Project Reports)</t>
  </si>
  <si>
    <t xml:space="preserve">Per passenger per KM CO2 emissions </t>
  </si>
  <si>
    <t>At Current GEF</t>
  </si>
  <si>
    <t>At 2030 GEF</t>
  </si>
  <si>
    <t>Average 2010</t>
  </si>
  <si>
    <t>TEEMP Defaults for ASIA (Source: http://cleanairinitiative.org/portal/system/files/Defaults-GEF-ITDP.docx)
)</t>
  </si>
  <si>
    <t>Jaipur Metro Scenario</t>
  </si>
  <si>
    <t>CO2 emissions / KM 2010</t>
  </si>
  <si>
    <t>CO2 emissions / KM 2030</t>
  </si>
  <si>
    <r>
      <t xml:space="preserve">% reduction in GHG </t>
    </r>
    <r>
      <rPr>
        <b/>
        <sz val="11"/>
        <color theme="1"/>
        <rFont val="Calibri"/>
        <family val="2"/>
        <scheme val="minor"/>
      </rPr>
      <t>PER YEAR</t>
    </r>
    <r>
      <rPr>
        <sz val="11"/>
        <color theme="1"/>
        <rFont val="Calibri"/>
        <family val="2"/>
        <scheme val="minor"/>
      </rPr>
      <t xml:space="preserve"> due to improvement in vehicle technology till 2030</t>
    </r>
  </si>
  <si>
    <t>% reduction in GEF for natural technology improvement and increase renewable/nuclear share (Scenario 1)</t>
  </si>
  <si>
    <t>Assumptions / Scenarios for 2030 GEF</t>
  </si>
  <si>
    <r>
      <t xml:space="preserve">% of improvement in grid emissions factor </t>
    </r>
    <r>
      <rPr>
        <b/>
        <sz val="11"/>
        <color theme="1"/>
        <rFont val="Calibri"/>
        <family val="2"/>
        <scheme val="minor"/>
      </rPr>
      <t xml:space="preserve"> </t>
    </r>
    <r>
      <rPr>
        <sz val="11"/>
        <color theme="1"/>
        <rFont val="Calibri"/>
        <family val="2"/>
        <scheme val="minor"/>
      </rPr>
      <t>due to natural technology improvement and increased renewable focus till 2030</t>
    </r>
  </si>
  <si>
    <t>Design Life</t>
  </si>
  <si>
    <t>Emissions in Baseline Scenario (year 2009)</t>
  </si>
  <si>
    <t>Emissions in Business As Usual Scenario (year 2030)</t>
  </si>
  <si>
    <t>Emissions in Tonnes of CO2</t>
  </si>
  <si>
    <t>Emission Reduction in 2031 over BAU Scenario (%)</t>
  </si>
  <si>
    <t>CMP Additional Measures - Demand elimination &amp; Modal Shift Measures-Implementation based on Assumption Sheet (including construction and induction impact)</t>
  </si>
  <si>
    <t>CMP Additional Measures - Additional Load Factor enhancement measures</t>
  </si>
  <si>
    <t>CMP Additional Measures  - Additional green measures (Use of Low carbon fuels, eco-driving &amp; 20% renewable power for Metro)</t>
  </si>
  <si>
    <t>CMP AM - Additional green measures (10% electric Vehicles penetration)</t>
  </si>
  <si>
    <t>Overall CMP Additional Measures Improvement over CMP on comparative boundaries</t>
  </si>
  <si>
    <t>Emissions in CMP As Is Scenario (Ignoring Induction &amp; Rebound Effect, including construction emissions)</t>
  </si>
  <si>
    <t>Emissions in CMP Modified Assumption Scenario (including induction and rebound effect and construction emissions)</t>
  </si>
  <si>
    <t xml:space="preserve">Results of Jaipur CMP Assessment </t>
  </si>
  <si>
    <t>Construction Related Emissions</t>
  </si>
  <si>
    <t>Assumptions and Emissions Factors (Source: TEEMP Defaults)</t>
  </si>
  <si>
    <t>0.90%*(C2-C1)</t>
  </si>
  <si>
    <t>Initial Network Speed</t>
  </si>
  <si>
    <t>Not to be edited</t>
  </si>
  <si>
    <t>Total transport demand elimination due to land use measures</t>
  </si>
  <si>
    <t>Percentage of trips eliminated entirely as a fraction of total demand elimination</t>
  </si>
  <si>
    <t>Emissions at present network speed(tonnes)- PT</t>
  </si>
  <si>
    <t>Emissions at present network speed(tonnes)-PV, IPT</t>
  </si>
  <si>
    <t>Case 2</t>
  </si>
  <si>
    <t>Case 1</t>
  </si>
  <si>
    <t>Overall Transport system emission decrease</t>
  </si>
  <si>
    <t>Modal Share (Case 1)</t>
  </si>
  <si>
    <t>Public Transport Systems</t>
  </si>
  <si>
    <t>Total fuel decrease</t>
  </si>
  <si>
    <t>For Four hours immediately before or after peak hours</t>
  </si>
  <si>
    <t>Fuel/Emission usage decrease as per scenario 2</t>
  </si>
  <si>
    <t>Occupancy rates</t>
  </si>
  <si>
    <t>Off Peak hour traffic</t>
  </si>
  <si>
    <t>For four hours</t>
  </si>
  <si>
    <t>Peak hour traffic</t>
  </si>
  <si>
    <t>Post shift</t>
  </si>
  <si>
    <t>Pre shift</t>
  </si>
  <si>
    <t>Non peak hour traffic</t>
  </si>
  <si>
    <t>of total traffic</t>
  </si>
  <si>
    <t xml:space="preserve">Non Peak traffic per hour </t>
  </si>
  <si>
    <t xml:space="preserve">Peak traffic per hour </t>
  </si>
  <si>
    <t>Assumptions</t>
  </si>
  <si>
    <t>Fuel Saved</t>
  </si>
  <si>
    <t>to</t>
  </si>
  <si>
    <t>Scenario 4</t>
  </si>
  <si>
    <t>Scenario 3</t>
  </si>
  <si>
    <t>Fuel saved</t>
  </si>
  <si>
    <t>Scenario 2</t>
  </si>
  <si>
    <t>Scenario 1</t>
  </si>
  <si>
    <t>Fuel used per tonne-Km</t>
  </si>
  <si>
    <t>Load Factor</t>
  </si>
  <si>
    <t>Load Factors and Fuel consumption data</t>
  </si>
  <si>
    <t>CNG emission Factor as a fraction of Gasoline</t>
  </si>
  <si>
    <t>Electric Vehicle Emission factor per km per passenger as a fraction of gasoline vehicle</t>
  </si>
  <si>
    <t>Electric Cars @10% penetration: emission reduction</t>
  </si>
  <si>
    <t>Emission reduction due to Eco-Driving</t>
  </si>
  <si>
    <t>Eco Diving Adoption Rate</t>
  </si>
  <si>
    <t>Electric Vehicle Penetration</t>
  </si>
  <si>
    <t>Additional Green Measures Assumptions</t>
  </si>
  <si>
    <t>Inputs from Assumptions sheet. Do not Edit</t>
  </si>
  <si>
    <t>Inputs from MCMP sheet. Do not Edit</t>
  </si>
  <si>
    <t>Assumptions for ALIShA</t>
  </si>
  <si>
    <t>Results</t>
  </si>
  <si>
    <t xml:space="preserve">% Public Transport </t>
  </si>
  <si>
    <t>PT%</t>
  </si>
  <si>
    <t>Ref: Volvo Diesel Engine Data</t>
  </si>
  <si>
    <t>Traffic Shift per hour</t>
  </si>
  <si>
    <t xml:space="preserve">from peak hours </t>
  </si>
  <si>
    <t>to off peak hours</t>
  </si>
  <si>
    <t>Emission reduction assuming 10% shift of traffic from peak to off-peak hours</t>
  </si>
  <si>
    <t>Pre shift traffic</t>
  </si>
  <si>
    <t>Post shift traffic</t>
  </si>
  <si>
    <t>Total Peak hour traffic</t>
  </si>
  <si>
    <t>Emission Reduction Calculations due to Load Factor Improvement</t>
  </si>
  <si>
    <t>Scenarios</t>
  </si>
  <si>
    <t>Additional Measures Assumptions</t>
  </si>
  <si>
    <t>Ref: http://www.vtpi.org/gentraf.pdf</t>
  </si>
  <si>
    <t>Carbon Footprint of Comprehensive Mobility Plans (CMP)</t>
  </si>
  <si>
    <t>This calculation tool has been made for CMP specific requirements. This sheet explains the how to use the tool and information contained in each work sheet.</t>
  </si>
  <si>
    <t>CMP Data Input</t>
  </si>
  <si>
    <t>BAU (2030)</t>
  </si>
  <si>
    <t>CMP As Is Scenario (2030)</t>
  </si>
  <si>
    <t>This sheet provides data input to the model for current year, Business as Usual in 2030 Scenario, CMP Implemented Scenario. The source of data is city's CMP. Input cells are marked in GREEN. Data parameters are required for number of trips in peak hours as per mode, average trip lengths (Private Vehicles, Public Vehicle and Integrated Public Transport), average occupancy, ratios of peak hour to total number of trips, construction related data)</t>
  </si>
  <si>
    <t>Induced Demand</t>
  </si>
  <si>
    <t>Additional Measures Assumption</t>
  </si>
  <si>
    <t xml:space="preserve">This sheet contains impact of additional measures and its impact on eliminating demand, reducing trip lengths, use of low carbon fuels such as CNG, impact of increase usage of electric vehicles, eco-driving, additional modal shift to public vehicles from private vehicles and integrated public vehicles. </t>
  </si>
  <si>
    <t xml:space="preserve">Net Additional Measures Impact </t>
  </si>
  <si>
    <t xml:space="preserve">Construction Emissions </t>
  </si>
  <si>
    <t>Emissions Factors</t>
  </si>
  <si>
    <t>This sheet contains emissions factors for various fuel options like petrol, diesel, CNG. It also have passenger per km emissions, metro per passenger per km emissions, grid emissions factor.</t>
  </si>
  <si>
    <t>Load Factor Improvement</t>
  </si>
  <si>
    <t>This sheet estimates the GHG reduction impact due to load factor improvement. Users are adviced not to insert or modify any data in this sheet.</t>
  </si>
  <si>
    <t>This sheet provides GHG emissions due to construction related activities. Users are adviced not to insert or modify any data in this sheet.</t>
  </si>
  <si>
    <t>This sheet provides the GHG emissions in CMP most likely scenario (2030) while taking into care the impact of induced demand on the network speed. Users are adviced not to insert or modify any data in this sheet.</t>
  </si>
  <si>
    <t>This sheet provides the GHG emissions in case of CMP implemented scenario by taking CMP assumptions as it is. CMP ignores the impact of induced demand while determining the network speed. Users are adviced not to insert or modify any data in this sheet.</t>
  </si>
  <si>
    <t>This sheet provides the GHG emissions in current baseline year and Business As Usual 2030 Scenario. Users are adviced not to insert or modify any data in this sheet.</t>
  </si>
  <si>
    <t>This sheet provides results of various scenarios taken for assessing CMP's impact on GHG emissions. Users are adviced not to insert or modify any data in this sheet.</t>
  </si>
  <si>
    <t>Prepared by: Emergent Venture India</t>
  </si>
  <si>
    <t>Submitted to: Institute of Urban Transport</t>
  </si>
  <si>
    <t>A Shakti Sustainable Energy Foundation Supported Study</t>
  </si>
  <si>
    <t>Climate Change Impact Assessment Tool of Comprehensive Mobility Plan (CMP) of Indian Cities</t>
  </si>
  <si>
    <t>CMP Most Likely Scenario  (2030)</t>
  </si>
  <si>
    <t>CMP Additional Measures Impact (2030)</t>
  </si>
  <si>
    <t xml:space="preserve">The above graph shows the various V/C and network speed characteristic </t>
  </si>
  <si>
    <t>Source: Victoria Transport Policy Institute</t>
  </si>
  <si>
    <t xml:space="preserve">Graph A: Observed elasticity or induced demand </t>
  </si>
  <si>
    <t xml:space="preserve">Elasticity </t>
  </si>
  <si>
    <t>From graph A</t>
  </si>
  <si>
    <t>Estimated ( details of calculation shown in report)</t>
  </si>
  <si>
    <t xml:space="preserve">Using the graph B </t>
  </si>
  <si>
    <t>Graph B: Network Speed &amp; Road Characteristic</t>
  </si>
  <si>
    <t>C2 - Capacity in 2032 after CMP implementation (Volume remain same in case of BAU and CMP As Is)</t>
  </si>
  <si>
    <t>Author</t>
  </si>
  <si>
    <t>Long-term (3+ yrs)</t>
  </si>
  <si>
    <t>SACTRA, 1994</t>
  </si>
  <si>
    <t>50 - 100%</t>
  </si>
  <si>
    <t xml:space="preserve">Goodwin </t>
  </si>
  <si>
    <t xml:space="preserve">Johnson and Ceerla </t>
  </si>
  <si>
    <t>60 - 90%</t>
  </si>
  <si>
    <t>Hansen and Huang, 1997</t>
  </si>
  <si>
    <t>Fulton, et al.</t>
  </si>
  <si>
    <t>50 - 80%</t>
  </si>
  <si>
    <t>Marshall,</t>
  </si>
  <si>
    <t>76 - 85%</t>
  </si>
  <si>
    <t>Noland, 2001</t>
  </si>
  <si>
    <t>70 - 100%</t>
  </si>
  <si>
    <t>Portion of New Capacity Absorbed by Induced Traffic</t>
  </si>
  <si>
    <t>This sheet provides a simple method to estimate the impact of induced demand on the network speed by V/C ratios. Details of calculations are provided in the report.</t>
  </si>
  <si>
    <r>
      <t xml:space="preserve">% reduction in GHG </t>
    </r>
    <r>
      <rPr>
        <b/>
        <sz val="11"/>
        <color theme="0"/>
        <rFont val="Calibri"/>
        <family val="2"/>
        <scheme val="minor"/>
      </rPr>
      <t>PER YEAR</t>
    </r>
    <r>
      <rPr>
        <sz val="11"/>
        <color theme="0"/>
        <rFont val="Calibri"/>
        <family val="2"/>
        <scheme val="minor"/>
      </rPr>
      <t xml:space="preserve"> due to improvement in vehicle technology till 2030</t>
    </r>
  </si>
  <si>
    <t>Net Generation under determined effort</t>
  </si>
  <si>
    <t>CO2 emissions under Fuel mix of 2007 (Million Tons)</t>
  </si>
  <si>
    <t>Total savings from Demand and Supply (Million Tons)</t>
  </si>
  <si>
    <t>Net Emissions (Million Tonnes)</t>
  </si>
  <si>
    <t>GEF in 2007</t>
  </si>
  <si>
    <t>% Improvement till 2020</t>
  </si>
  <si>
    <t>Interim Report of the expert group - Determined Scenrio</t>
  </si>
  <si>
    <t xml:space="preserve">Per Year Improvement </t>
  </si>
  <si>
    <t>Emissions per KWh in KG CO2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</si>
</sst>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0"/>
    <numFmt numFmtId="165" formatCode="0.0"/>
    <numFmt numFmtId="166" formatCode="0.00000"/>
    <numFmt numFmtId="167" formatCode="0.0%"/>
  </numFmts>
  <fonts count="30" x14ac:knownFonts="1">
    <font>
      <sz val="11"/>
      <color theme="1"/>
      <name val="Calibri"/>
      <family val="2"/>
      <scheme val="minor"/>
    </font>
    <font>
      <sz val="11"/>
      <color theme="0"/>
      <name val="Calibri"/>
      <family val="2"/>
      <scheme val="minor"/>
    </font>
    <font>
      <b/>
      <sz val="11"/>
      <color theme="0"/>
      <name val="Calibri"/>
      <family val="2"/>
      <scheme val="minor"/>
    </font>
    <font>
      <b/>
      <sz val="11"/>
      <color theme="1"/>
      <name val="Calibri"/>
      <family val="2"/>
      <scheme val="minor"/>
    </font>
    <font>
      <sz val="10"/>
      <name val="Trebuchet MS"/>
      <family val="2"/>
    </font>
    <font>
      <sz val="10"/>
      <color theme="1"/>
      <name val="Calibri"/>
      <family val="2"/>
      <scheme val="minor"/>
    </font>
    <font>
      <vertAlign val="subscript"/>
      <sz val="10"/>
      <color theme="1"/>
      <name val="Calibri"/>
      <family val="2"/>
      <scheme val="minor"/>
    </font>
    <font>
      <sz val="10"/>
      <color theme="0"/>
      <name val="Trebuchet MS"/>
      <family val="2"/>
    </font>
    <font>
      <sz val="11"/>
      <color theme="1"/>
      <name val="Calibri"/>
      <family val="2"/>
      <scheme val="minor"/>
    </font>
    <font>
      <sz val="9"/>
      <color indexed="81"/>
      <name val="Tahoma"/>
      <family val="2"/>
    </font>
    <font>
      <b/>
      <sz val="9"/>
      <color indexed="81"/>
      <name val="Tahoma"/>
      <family val="2"/>
    </font>
    <font>
      <sz val="11"/>
      <name val="Calibri"/>
      <family val="2"/>
      <scheme val="minor"/>
    </font>
    <font>
      <sz val="9"/>
      <color theme="0"/>
      <name val="Calibri"/>
      <family val="2"/>
      <scheme val="minor"/>
    </font>
    <font>
      <b/>
      <sz val="10"/>
      <color theme="0"/>
      <name val="Calibri"/>
      <family val="2"/>
      <scheme val="minor"/>
    </font>
    <font>
      <b/>
      <sz val="11"/>
      <color rgb="FFFF0000"/>
      <name val="Calibri"/>
      <family val="2"/>
      <scheme val="minor"/>
    </font>
    <font>
      <b/>
      <sz val="14"/>
      <color theme="0"/>
      <name val="Calibri"/>
      <family val="2"/>
      <scheme val="minor"/>
    </font>
    <font>
      <b/>
      <sz val="14"/>
      <name val="Calibri"/>
      <family val="2"/>
      <scheme val="minor"/>
    </font>
    <font>
      <b/>
      <sz val="12"/>
      <color theme="0"/>
      <name val="Calibri"/>
      <family val="2"/>
      <scheme val="minor"/>
    </font>
    <font>
      <sz val="12"/>
      <color theme="0"/>
      <name val="Calibri"/>
      <family val="2"/>
      <scheme val="minor"/>
    </font>
    <font>
      <sz val="12"/>
      <color rgb="FFFF0000"/>
      <name val="Calibri"/>
      <family val="2"/>
      <scheme val="minor"/>
    </font>
    <font>
      <b/>
      <sz val="16"/>
      <color theme="0"/>
      <name val="Calibri"/>
      <family val="2"/>
      <scheme val="minor"/>
    </font>
    <font>
      <sz val="10"/>
      <color theme="0"/>
      <name val="Calibri"/>
      <family val="2"/>
      <scheme val="minor"/>
    </font>
    <font>
      <sz val="8"/>
      <color theme="0"/>
      <name val="Calibri"/>
      <family val="2"/>
      <scheme val="minor"/>
    </font>
    <font>
      <sz val="8"/>
      <name val="Calibri"/>
      <family val="2"/>
      <scheme val="minor"/>
    </font>
    <font>
      <sz val="9"/>
      <color theme="1"/>
      <name val="Calibri"/>
      <family val="2"/>
      <scheme val="minor"/>
    </font>
    <font>
      <b/>
      <i/>
      <sz val="11"/>
      <color theme="1"/>
      <name val="Calibri"/>
      <family val="2"/>
      <scheme val="minor"/>
    </font>
    <font>
      <b/>
      <sz val="14"/>
      <color rgb="FF1F497D"/>
      <name val="Calibri"/>
      <family val="2"/>
      <scheme val="minor"/>
    </font>
    <font>
      <b/>
      <sz val="26"/>
      <color theme="1"/>
      <name val="Calibri"/>
      <family val="2"/>
      <scheme val="minor"/>
    </font>
    <font>
      <sz val="14"/>
      <color theme="1"/>
      <name val="Calibri"/>
      <family val="2"/>
      <scheme val="minor"/>
    </font>
    <font>
      <b/>
      <i/>
      <sz val="14"/>
      <color theme="6" tint="-0.249977111117893"/>
      <name val="Calibri"/>
      <family val="2"/>
      <scheme val="minor"/>
    </font>
  </fonts>
  <fills count="16">
    <fill>
      <patternFill patternType="none"/>
    </fill>
    <fill>
      <patternFill patternType="gray125"/>
    </fill>
    <fill>
      <patternFill patternType="solid">
        <fgColor theme="2"/>
        <bgColor indexed="64"/>
      </patternFill>
    </fill>
    <fill>
      <patternFill patternType="solid">
        <fgColor theme="4"/>
        <bgColor indexed="64"/>
      </patternFill>
    </fill>
    <fill>
      <patternFill patternType="solid">
        <fgColor theme="6"/>
        <bgColor indexed="64"/>
      </patternFill>
    </fill>
    <fill>
      <patternFill patternType="solid">
        <fgColor theme="0"/>
        <bgColor indexed="64"/>
      </patternFill>
    </fill>
    <fill>
      <patternFill patternType="solid">
        <fgColor theme="6" tint="0.79998168889431442"/>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9" tint="0.39997558519241921"/>
        <bgColor indexed="64"/>
      </patternFill>
    </fill>
    <fill>
      <patternFill patternType="solid">
        <fgColor rgb="FF0070C0"/>
        <bgColor indexed="64"/>
      </patternFill>
    </fill>
    <fill>
      <patternFill patternType="solid">
        <fgColor rgb="FFD48886"/>
        <bgColor indexed="64"/>
      </patternFill>
    </fill>
    <fill>
      <patternFill patternType="solid">
        <fgColor theme="0" tint="-0.499984740745262"/>
        <bgColor indexed="64"/>
      </patternFill>
    </fill>
    <fill>
      <patternFill patternType="solid">
        <fgColor theme="3" tint="0.39997558519241921"/>
        <bgColor indexed="64"/>
      </patternFill>
    </fill>
    <fill>
      <patternFill patternType="solid">
        <fgColor theme="0" tint="-4.9989318521683403E-2"/>
        <bgColor indexed="64"/>
      </patternFill>
    </fill>
  </fills>
  <borders count="6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indexed="64"/>
      </left>
      <right style="thin">
        <color theme="0"/>
      </right>
      <top style="thin">
        <color indexed="64"/>
      </top>
      <bottom/>
      <diagonal/>
    </border>
    <border>
      <left style="thin">
        <color theme="0"/>
      </left>
      <right style="thin">
        <color theme="0"/>
      </right>
      <top style="thin">
        <color indexed="64"/>
      </top>
      <bottom style="thin">
        <color theme="0"/>
      </bottom>
      <diagonal/>
    </border>
    <border>
      <left style="thin">
        <color theme="0"/>
      </left>
      <right style="thin">
        <color indexed="64"/>
      </right>
      <top style="thin">
        <color indexed="64"/>
      </top>
      <bottom style="thin">
        <color theme="0"/>
      </bottom>
      <diagonal/>
    </border>
    <border>
      <left style="thin">
        <color indexed="64"/>
      </left>
      <right style="thin">
        <color theme="0"/>
      </right>
      <top/>
      <bottom/>
      <diagonal/>
    </border>
    <border>
      <left style="thin">
        <color theme="0"/>
      </left>
      <right style="thin">
        <color indexed="64"/>
      </right>
      <top style="thin">
        <color theme="0"/>
      </top>
      <bottom style="thin">
        <color theme="0"/>
      </bottom>
      <diagonal/>
    </border>
    <border>
      <left style="thin">
        <color indexed="64"/>
      </left>
      <right style="thin">
        <color theme="0"/>
      </right>
      <top/>
      <bottom style="thin">
        <color indexed="64"/>
      </bottom>
      <diagonal/>
    </border>
    <border>
      <left style="thin">
        <color theme="0"/>
      </left>
      <right style="thin">
        <color theme="0"/>
      </right>
      <top style="thin">
        <color theme="0"/>
      </top>
      <bottom style="thin">
        <color indexed="64"/>
      </bottom>
      <diagonal/>
    </border>
    <border>
      <left style="thin">
        <color theme="0"/>
      </left>
      <right style="thin">
        <color indexed="64"/>
      </right>
      <top style="thin">
        <color theme="0"/>
      </top>
      <bottom style="thin">
        <color indexed="64"/>
      </bottom>
      <diagonal/>
    </border>
    <border>
      <left style="thin">
        <color indexed="64"/>
      </left>
      <right style="thin">
        <color theme="0"/>
      </right>
      <top style="thin">
        <color indexed="64"/>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theme="0"/>
      </right>
      <top style="thin">
        <color theme="0"/>
      </top>
      <bottom style="thin">
        <color indexed="64"/>
      </bottom>
      <diagonal/>
    </border>
    <border>
      <left style="thin">
        <color indexed="64"/>
      </left>
      <right style="thin">
        <color indexed="64"/>
      </right>
      <top style="thin">
        <color indexed="64"/>
      </top>
      <bottom style="thin">
        <color theme="0"/>
      </bottom>
      <diagonal/>
    </border>
    <border>
      <left style="thin">
        <color indexed="64"/>
      </left>
      <right style="thin">
        <color indexed="64"/>
      </right>
      <top style="thin">
        <color theme="0"/>
      </top>
      <bottom style="thin">
        <color theme="0"/>
      </bottom>
      <diagonal/>
    </border>
    <border>
      <left style="thin">
        <color indexed="64"/>
      </left>
      <right style="thin">
        <color indexed="64"/>
      </right>
      <top style="thin">
        <color theme="0"/>
      </top>
      <bottom style="thin">
        <color indexed="64"/>
      </bottom>
      <diagonal/>
    </border>
    <border>
      <left/>
      <right style="thin">
        <color theme="0"/>
      </right>
      <top style="thin">
        <color theme="0"/>
      </top>
      <bottom style="thin">
        <color indexed="64"/>
      </bottom>
      <diagonal/>
    </border>
    <border>
      <left/>
      <right style="thin">
        <color theme="0"/>
      </right>
      <top/>
      <bottom style="thin">
        <color theme="0"/>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right style="thin">
        <color theme="0"/>
      </right>
      <top style="thin">
        <color theme="0"/>
      </top>
      <bottom/>
      <diagonal/>
    </border>
    <border>
      <left/>
      <right style="thin">
        <color theme="0"/>
      </right>
      <top style="thin">
        <color indexed="64"/>
      </top>
      <bottom style="thin">
        <color theme="0"/>
      </bottom>
      <diagonal/>
    </border>
    <border>
      <left style="thin">
        <color indexed="64"/>
      </left>
      <right style="thin">
        <color theme="0"/>
      </right>
      <top style="thin">
        <color theme="0"/>
      </top>
      <bottom/>
      <diagonal/>
    </border>
    <border>
      <left style="thin">
        <color theme="0"/>
      </left>
      <right style="thin">
        <color indexed="64"/>
      </right>
      <top style="thin">
        <color theme="0"/>
      </top>
      <bottom/>
      <diagonal/>
    </border>
    <border>
      <left/>
      <right style="thin">
        <color theme="0"/>
      </right>
      <top/>
      <bottom/>
      <diagonal/>
    </border>
    <border>
      <left style="thin">
        <color theme="0"/>
      </left>
      <right/>
      <top/>
      <bottom/>
      <diagonal/>
    </border>
    <border>
      <left style="thin">
        <color theme="0"/>
      </left>
      <right/>
      <top style="thin">
        <color indexed="64"/>
      </top>
      <bottom style="thin">
        <color theme="0"/>
      </bottom>
      <diagonal/>
    </border>
    <border>
      <left/>
      <right/>
      <top style="thin">
        <color indexed="64"/>
      </top>
      <bottom style="thin">
        <color theme="0"/>
      </bottom>
      <diagonal/>
    </border>
    <border>
      <left/>
      <right style="thin">
        <color indexed="64"/>
      </right>
      <top style="thin">
        <color indexed="64"/>
      </top>
      <bottom style="thin">
        <color theme="0"/>
      </bottom>
      <diagonal/>
    </border>
    <border>
      <left style="thin">
        <color theme="0"/>
      </left>
      <right style="thin">
        <color indexed="64"/>
      </right>
      <top/>
      <bottom style="thin">
        <color theme="0"/>
      </bottom>
      <diagonal/>
    </border>
    <border>
      <left style="thin">
        <color theme="0"/>
      </left>
      <right/>
      <top style="thin">
        <color theme="0"/>
      </top>
      <bottom/>
      <diagonal/>
    </border>
    <border>
      <left style="thin">
        <color theme="0"/>
      </left>
      <right/>
      <top/>
      <bottom style="thin">
        <color indexed="64"/>
      </bottom>
      <diagonal/>
    </border>
    <border>
      <left/>
      <right style="thin">
        <color theme="0"/>
      </right>
      <top/>
      <bottom style="thin">
        <color indexed="64"/>
      </bottom>
      <diagonal/>
    </border>
    <border>
      <left/>
      <right style="thin">
        <color indexed="64"/>
      </right>
      <top style="thin">
        <color theme="0"/>
      </top>
      <bottom style="thin">
        <color indexed="64"/>
      </bottom>
      <diagonal/>
    </border>
  </borders>
  <cellStyleXfs count="2">
    <xf numFmtId="0" fontId="0" fillId="0" borderId="0"/>
    <xf numFmtId="9" fontId="8" fillId="0" borderId="0" applyFont="0" applyFill="0" applyBorder="0" applyAlignment="0" applyProtection="0"/>
  </cellStyleXfs>
  <cellXfs count="411">
    <xf numFmtId="0" fontId="0" fillId="0" borderId="0" xfId="0"/>
    <xf numFmtId="0" fontId="0" fillId="2" borderId="0" xfId="0" applyFill="1"/>
    <xf numFmtId="0" fontId="1" fillId="3" borderId="1" xfId="0" applyFont="1" applyFill="1" applyBorder="1"/>
    <xf numFmtId="1" fontId="0" fillId="4" borderId="1" xfId="0" applyNumberFormat="1" applyFill="1" applyBorder="1"/>
    <xf numFmtId="0" fontId="0" fillId="4" borderId="1" xfId="0" applyFill="1" applyBorder="1"/>
    <xf numFmtId="0" fontId="0" fillId="4" borderId="1" xfId="0" applyFill="1" applyBorder="1" applyAlignment="1"/>
    <xf numFmtId="0" fontId="0" fillId="2" borderId="1" xfId="0" applyFill="1" applyBorder="1"/>
    <xf numFmtId="0" fontId="0" fillId="2" borderId="0" xfId="0" applyFill="1" applyBorder="1"/>
    <xf numFmtId="0" fontId="1" fillId="3" borderId="1" xfId="0" applyFont="1" applyFill="1" applyBorder="1" applyAlignment="1">
      <alignment wrapText="1"/>
    </xf>
    <xf numFmtId="0" fontId="1" fillId="3" borderId="1" xfId="0" applyFont="1" applyFill="1" applyBorder="1" applyAlignment="1">
      <alignment horizontal="center"/>
    </xf>
    <xf numFmtId="2" fontId="0" fillId="2" borderId="1" xfId="0" applyNumberFormat="1" applyFill="1" applyBorder="1"/>
    <xf numFmtId="0" fontId="0" fillId="2" borderId="0" xfId="0" applyFill="1" applyAlignment="1">
      <alignment horizontal="center"/>
    </xf>
    <xf numFmtId="10" fontId="0" fillId="2" borderId="1" xfId="0" applyNumberFormat="1" applyFill="1" applyBorder="1"/>
    <xf numFmtId="0" fontId="2" fillId="3" borderId="1" xfId="0" applyFont="1" applyFill="1" applyBorder="1"/>
    <xf numFmtId="0" fontId="2" fillId="3" borderId="1" xfId="0" applyFont="1" applyFill="1" applyBorder="1" applyAlignment="1">
      <alignment wrapText="1"/>
    </xf>
    <xf numFmtId="0" fontId="0" fillId="2" borderId="14" xfId="0" applyFill="1" applyBorder="1"/>
    <xf numFmtId="0" fontId="0" fillId="2" borderId="15" xfId="0" applyFill="1" applyBorder="1"/>
    <xf numFmtId="0" fontId="0" fillId="2" borderId="16" xfId="0" applyFill="1" applyBorder="1"/>
    <xf numFmtId="0" fontId="0" fillId="2" borderId="17" xfId="0" applyFill="1" applyBorder="1"/>
    <xf numFmtId="0" fontId="0" fillId="2" borderId="18" xfId="0" applyFill="1" applyBorder="1"/>
    <xf numFmtId="0" fontId="0" fillId="2" borderId="0" xfId="0" applyFill="1" applyBorder="1" applyAlignment="1">
      <alignment horizontal="center"/>
    </xf>
    <xf numFmtId="0" fontId="3" fillId="2" borderId="0" xfId="0" applyFont="1" applyFill="1"/>
    <xf numFmtId="0" fontId="0" fillId="2" borderId="13" xfId="0" applyFill="1" applyBorder="1"/>
    <xf numFmtId="2" fontId="0" fillId="2" borderId="13" xfId="0" applyNumberFormat="1" applyFill="1" applyBorder="1"/>
    <xf numFmtId="2" fontId="0" fillId="2" borderId="4" xfId="0" applyNumberFormat="1" applyFill="1" applyBorder="1"/>
    <xf numFmtId="0" fontId="1" fillId="3" borderId="2" xfId="0" applyFont="1" applyFill="1" applyBorder="1" applyAlignment="1">
      <alignment wrapText="1"/>
    </xf>
    <xf numFmtId="10" fontId="0" fillId="2" borderId="20" xfId="0" applyNumberFormat="1" applyFill="1" applyBorder="1"/>
    <xf numFmtId="10" fontId="0" fillId="2" borderId="21" xfId="0" applyNumberFormat="1" applyFill="1" applyBorder="1"/>
    <xf numFmtId="10" fontId="0" fillId="2" borderId="10" xfId="0" applyNumberFormat="1" applyFill="1" applyBorder="1"/>
    <xf numFmtId="10" fontId="0" fillId="2" borderId="11" xfId="0" applyNumberFormat="1" applyFill="1" applyBorder="1"/>
    <xf numFmtId="10" fontId="0" fillId="2" borderId="3" xfId="0" applyNumberFormat="1" applyFill="1" applyBorder="1"/>
    <xf numFmtId="10" fontId="0" fillId="2" borderId="8" xfId="0" applyNumberFormat="1" applyFill="1" applyBorder="1"/>
    <xf numFmtId="10" fontId="0" fillId="2" borderId="5" xfId="0" applyNumberFormat="1" applyFill="1" applyBorder="1"/>
    <xf numFmtId="0" fontId="0" fillId="2" borderId="10" xfId="0" applyFill="1" applyBorder="1"/>
    <xf numFmtId="0" fontId="0" fillId="2" borderId="8" xfId="0" applyFill="1" applyBorder="1"/>
    <xf numFmtId="49" fontId="0" fillId="2" borderId="19" xfId="0" applyNumberFormat="1" applyFill="1" applyBorder="1"/>
    <xf numFmtId="0" fontId="0" fillId="2" borderId="20" xfId="0" applyFill="1" applyBorder="1"/>
    <xf numFmtId="49" fontId="0" fillId="2" borderId="9" xfId="0" applyNumberFormat="1" applyFill="1" applyBorder="1"/>
    <xf numFmtId="49" fontId="0" fillId="2" borderId="6" xfId="0" applyNumberFormat="1" applyFill="1" applyBorder="1"/>
    <xf numFmtId="49" fontId="0" fillId="2" borderId="7" xfId="0" applyNumberFormat="1" applyFill="1" applyBorder="1"/>
    <xf numFmtId="0" fontId="0" fillId="2" borderId="22" xfId="0" applyFill="1" applyBorder="1"/>
    <xf numFmtId="0" fontId="0" fillId="2" borderId="23" xfId="0" applyFill="1" applyBorder="1"/>
    <xf numFmtId="0" fontId="0" fillId="2" borderId="19" xfId="0" applyFill="1" applyBorder="1"/>
    <xf numFmtId="10" fontId="0" fillId="2" borderId="24" xfId="0" applyNumberFormat="1" applyFill="1" applyBorder="1"/>
    <xf numFmtId="1" fontId="4" fillId="2" borderId="1" xfId="0" applyNumberFormat="1" applyFont="1" applyFill="1" applyBorder="1" applyAlignment="1">
      <alignment horizontal="center"/>
    </xf>
    <xf numFmtId="0" fontId="4" fillId="2" borderId="1" xfId="0" applyNumberFormat="1" applyFont="1" applyFill="1" applyBorder="1" applyAlignment="1">
      <alignment horizontal="center"/>
    </xf>
    <xf numFmtId="1" fontId="0" fillId="2" borderId="1" xfId="0" applyNumberFormat="1" applyFill="1" applyBorder="1" applyAlignment="1">
      <alignment horizontal="center"/>
    </xf>
    <xf numFmtId="1" fontId="7" fillId="3" borderId="1" xfId="0" applyNumberFormat="1" applyFont="1" applyFill="1" applyBorder="1" applyAlignment="1">
      <alignment horizontal="center"/>
    </xf>
    <xf numFmtId="9" fontId="0" fillId="2" borderId="0" xfId="0" applyNumberFormat="1" applyFill="1"/>
    <xf numFmtId="0" fontId="0" fillId="2" borderId="0" xfId="0" applyFill="1" applyAlignment="1">
      <alignment vertical="center"/>
    </xf>
    <xf numFmtId="9" fontId="0" fillId="2" borderId="0" xfId="0" applyNumberFormat="1" applyFill="1" applyAlignment="1">
      <alignment horizontal="left" vertical="center"/>
    </xf>
    <xf numFmtId="9" fontId="0" fillId="2" borderId="0" xfId="1" applyFont="1" applyFill="1" applyAlignment="1">
      <alignment horizontal="left" vertical="center"/>
    </xf>
    <xf numFmtId="0" fontId="0" fillId="2" borderId="0" xfId="0" applyFill="1" applyAlignment="1">
      <alignment horizontal="left" vertical="center"/>
    </xf>
    <xf numFmtId="166" fontId="0" fillId="2" borderId="0" xfId="0" applyNumberFormat="1" applyFill="1" applyAlignment="1">
      <alignment horizontal="left" vertical="center"/>
    </xf>
    <xf numFmtId="167" fontId="0" fillId="2" borderId="0" xfId="1" applyNumberFormat="1" applyFont="1" applyFill="1" applyAlignment="1">
      <alignment horizontal="left" vertical="center"/>
    </xf>
    <xf numFmtId="0" fontId="0" fillId="2" borderId="25" xfId="0" applyFill="1" applyBorder="1"/>
    <xf numFmtId="0" fontId="0" fillId="2" borderId="0" xfId="0" applyFill="1" applyBorder="1" applyAlignment="1"/>
    <xf numFmtId="2" fontId="0" fillId="2" borderId="0" xfId="0" applyNumberFormat="1" applyFill="1"/>
    <xf numFmtId="0" fontId="0" fillId="2" borderId="0" xfId="0" applyFill="1" applyAlignment="1">
      <alignment wrapText="1"/>
    </xf>
    <xf numFmtId="0" fontId="0" fillId="5" borderId="0" xfId="0" applyFill="1"/>
    <xf numFmtId="1" fontId="0" fillId="5" borderId="0" xfId="0" applyNumberFormat="1" applyFill="1"/>
    <xf numFmtId="0" fontId="0" fillId="5" borderId="1" xfId="0" applyFill="1" applyBorder="1"/>
    <xf numFmtId="9" fontId="0" fillId="4" borderId="1" xfId="0" applyNumberFormat="1" applyFill="1" applyBorder="1"/>
    <xf numFmtId="2" fontId="0" fillId="2" borderId="0" xfId="0" applyNumberFormat="1" applyFill="1" applyBorder="1"/>
    <xf numFmtId="0" fontId="0" fillId="2" borderId="0" xfId="0" applyFill="1" applyAlignment="1">
      <alignment horizontal="center"/>
    </xf>
    <xf numFmtId="167" fontId="0" fillId="2" borderId="0" xfId="0" applyNumberFormat="1" applyFill="1"/>
    <xf numFmtId="0" fontId="1" fillId="3" borderId="1" xfId="0" applyFont="1" applyFill="1" applyBorder="1" applyAlignment="1">
      <alignment horizontal="center"/>
    </xf>
    <xf numFmtId="0" fontId="2" fillId="3" borderId="1" xfId="0" applyFont="1" applyFill="1" applyBorder="1" applyAlignment="1">
      <alignment horizontal="center"/>
    </xf>
    <xf numFmtId="1" fontId="0" fillId="7" borderId="1" xfId="0" applyNumberFormat="1" applyFill="1" applyBorder="1"/>
    <xf numFmtId="0" fontId="0" fillId="7" borderId="1" xfId="0" applyFill="1" applyBorder="1"/>
    <xf numFmtId="2" fontId="0" fillId="7" borderId="1" xfId="0" applyNumberFormat="1" applyFill="1" applyBorder="1"/>
    <xf numFmtId="1" fontId="0" fillId="8" borderId="1" xfId="0" applyNumberFormat="1" applyFill="1" applyBorder="1"/>
    <xf numFmtId="0" fontId="0" fillId="8" borderId="1" xfId="0" applyFill="1" applyBorder="1"/>
    <xf numFmtId="2" fontId="0" fillId="8" borderId="1" xfId="0" applyNumberFormat="1" applyFill="1" applyBorder="1"/>
    <xf numFmtId="0" fontId="2" fillId="3" borderId="1" xfId="0" applyFont="1" applyFill="1" applyBorder="1" applyAlignment="1">
      <alignment horizontal="center" wrapText="1"/>
    </xf>
    <xf numFmtId="1" fontId="2" fillId="3" borderId="1" xfId="0" applyNumberFormat="1" applyFont="1" applyFill="1" applyBorder="1"/>
    <xf numFmtId="0" fontId="0" fillId="9" borderId="1" xfId="0" applyFill="1" applyBorder="1"/>
    <xf numFmtId="0" fontId="0" fillId="2" borderId="0" xfId="0" applyFill="1" applyBorder="1" applyAlignment="1">
      <alignment horizontal="center" wrapText="1"/>
    </xf>
    <xf numFmtId="0" fontId="0" fillId="2" borderId="0" xfId="0" applyFill="1" applyBorder="1" applyAlignment="1">
      <alignment wrapText="1"/>
    </xf>
    <xf numFmtId="0" fontId="0" fillId="8" borderId="13" xfId="0" applyFill="1" applyBorder="1"/>
    <xf numFmtId="2" fontId="0" fillId="8" borderId="13" xfId="0" applyNumberFormat="1" applyFill="1" applyBorder="1"/>
    <xf numFmtId="2" fontId="0" fillId="8" borderId="4" xfId="0" applyNumberFormat="1" applyFill="1" applyBorder="1"/>
    <xf numFmtId="2" fontId="0" fillId="2" borderId="18" xfId="0" applyNumberFormat="1" applyFill="1" applyBorder="1"/>
    <xf numFmtId="0" fontId="0" fillId="2" borderId="28" xfId="0" applyFill="1" applyBorder="1"/>
    <xf numFmtId="0" fontId="0" fillId="2" borderId="26" xfId="0" applyFill="1" applyBorder="1"/>
    <xf numFmtId="0" fontId="0" fillId="2" borderId="29" xfId="0" applyFill="1" applyBorder="1"/>
    <xf numFmtId="0" fontId="3" fillId="8" borderId="1" xfId="0" applyFont="1" applyFill="1" applyBorder="1"/>
    <xf numFmtId="0" fontId="5" fillId="10" borderId="1" xfId="0" applyFont="1" applyFill="1" applyBorder="1" applyAlignment="1">
      <alignment horizontal="left" wrapText="1"/>
    </xf>
    <xf numFmtId="0" fontId="0" fillId="9" borderId="1" xfId="0" applyFont="1" applyFill="1" applyBorder="1"/>
    <xf numFmtId="0" fontId="0" fillId="10" borderId="1" xfId="0" applyFill="1" applyBorder="1"/>
    <xf numFmtId="0" fontId="17" fillId="3" borderId="1" xfId="0" applyFont="1" applyFill="1" applyBorder="1"/>
    <xf numFmtId="0" fontId="18" fillId="3" borderId="1" xfId="0" applyFont="1" applyFill="1" applyBorder="1" applyAlignment="1">
      <alignment wrapText="1"/>
    </xf>
    <xf numFmtId="0" fontId="17" fillId="3" borderId="1" xfId="0" applyFont="1" applyFill="1" applyBorder="1" applyAlignment="1">
      <alignment wrapText="1"/>
    </xf>
    <xf numFmtId="164" fontId="0" fillId="8" borderId="1" xfId="0" applyNumberFormat="1" applyFill="1" applyBorder="1"/>
    <xf numFmtId="165" fontId="0" fillId="8" borderId="1" xfId="0" applyNumberFormat="1" applyFill="1" applyBorder="1"/>
    <xf numFmtId="2" fontId="11" fillId="4" borderId="1" xfId="0" applyNumberFormat="1" applyFont="1" applyFill="1" applyBorder="1"/>
    <xf numFmtId="0" fontId="18" fillId="3" borderId="1" xfId="0" applyFont="1" applyFill="1" applyBorder="1" applyAlignment="1">
      <alignment horizontal="center" wrapText="1"/>
    </xf>
    <xf numFmtId="1" fontId="0" fillId="10" borderId="1" xfId="0" applyNumberFormat="1" applyFill="1" applyBorder="1"/>
    <xf numFmtId="0" fontId="0" fillId="10" borderId="1" xfId="0" applyFill="1" applyBorder="1" applyAlignment="1">
      <alignment horizontal="left"/>
    </xf>
    <xf numFmtId="0" fontId="0" fillId="10" borderId="1" xfId="0" applyFill="1" applyBorder="1" applyAlignment="1">
      <alignment horizontal="left" wrapText="1"/>
    </xf>
    <xf numFmtId="0" fontId="0" fillId="10" borderId="1" xfId="0" applyFill="1" applyBorder="1" applyAlignment="1">
      <alignment wrapText="1"/>
    </xf>
    <xf numFmtId="9" fontId="0" fillId="10" borderId="1" xfId="0" applyNumberFormat="1" applyFill="1" applyBorder="1"/>
    <xf numFmtId="2" fontId="0" fillId="9" borderId="1" xfId="0" applyNumberFormat="1" applyFill="1" applyBorder="1"/>
    <xf numFmtId="0" fontId="2" fillId="3" borderId="1" xfId="0" applyFont="1" applyFill="1" applyBorder="1" applyAlignment="1">
      <alignment horizontal="right"/>
    </xf>
    <xf numFmtId="0" fontId="2" fillId="3" borderId="25" xfId="0" applyFont="1" applyFill="1" applyBorder="1"/>
    <xf numFmtId="0" fontId="0" fillId="10" borderId="1" xfId="0" applyFill="1" applyBorder="1" applyAlignment="1">
      <alignment horizontal="right"/>
    </xf>
    <xf numFmtId="165" fontId="0" fillId="10" borderId="1" xfId="0" applyNumberFormat="1" applyFill="1" applyBorder="1"/>
    <xf numFmtId="0" fontId="0" fillId="4" borderId="25" xfId="0" applyFill="1" applyBorder="1"/>
    <xf numFmtId="49" fontId="2" fillId="3" borderId="1" xfId="0" applyNumberFormat="1" applyFont="1" applyFill="1" applyBorder="1"/>
    <xf numFmtId="0" fontId="0" fillId="8" borderId="1" xfId="0" applyFill="1" applyBorder="1" applyAlignment="1">
      <alignment horizontal="center"/>
    </xf>
    <xf numFmtId="0" fontId="0" fillId="8" borderId="1" xfId="0" applyFill="1" applyBorder="1" applyAlignment="1">
      <alignment wrapText="1"/>
    </xf>
    <xf numFmtId="2" fontId="0" fillId="8" borderId="1" xfId="0" applyNumberFormat="1" applyFill="1" applyBorder="1" applyAlignment="1">
      <alignment wrapText="1"/>
    </xf>
    <xf numFmtId="3" fontId="0" fillId="8" borderId="1" xfId="0" applyNumberFormat="1" applyFill="1" applyBorder="1"/>
    <xf numFmtId="10" fontId="0" fillId="8" borderId="1" xfId="0" applyNumberFormat="1" applyFill="1" applyBorder="1"/>
    <xf numFmtId="167" fontId="0" fillId="4" borderId="1" xfId="0" applyNumberFormat="1" applyFill="1" applyBorder="1"/>
    <xf numFmtId="0" fontId="1" fillId="3" borderId="1" xfId="0" applyFont="1" applyFill="1" applyBorder="1" applyAlignment="1">
      <alignment horizontal="left" wrapText="1"/>
    </xf>
    <xf numFmtId="0" fontId="17" fillId="3" borderId="1" xfId="0" applyFont="1" applyFill="1" applyBorder="1" applyAlignment="1"/>
    <xf numFmtId="9" fontId="0" fillId="4" borderId="1" xfId="0" applyNumberFormat="1" applyFill="1" applyBorder="1" applyAlignment="1"/>
    <xf numFmtId="0" fontId="17" fillId="3" borderId="1" xfId="0" applyFont="1" applyFill="1" applyBorder="1" applyAlignment="1">
      <alignment horizontal="center" vertical="center" wrapText="1"/>
    </xf>
    <xf numFmtId="0" fontId="0" fillId="4" borderId="1" xfId="0" applyFill="1" applyBorder="1" applyAlignment="1">
      <alignment wrapText="1"/>
    </xf>
    <xf numFmtId="1" fontId="0" fillId="10" borderId="1" xfId="0" applyNumberFormat="1" applyFill="1" applyBorder="1" applyAlignment="1">
      <alignment horizontal="center"/>
    </xf>
    <xf numFmtId="167" fontId="0" fillId="10" borderId="1" xfId="1" applyNumberFormat="1" applyFont="1" applyFill="1" applyBorder="1" applyAlignment="1">
      <alignment horizontal="center"/>
    </xf>
    <xf numFmtId="0" fontId="19" fillId="5" borderId="0" xfId="0" applyFont="1" applyFill="1"/>
    <xf numFmtId="0" fontId="14" fillId="2" borderId="0" xfId="0" applyFont="1" applyFill="1"/>
    <xf numFmtId="0" fontId="20" fillId="3" borderId="1" xfId="0" applyFont="1" applyFill="1" applyBorder="1" applyAlignment="1">
      <alignment horizontal="center" vertical="center" wrapText="1"/>
    </xf>
    <xf numFmtId="0" fontId="17" fillId="3" borderId="1" xfId="0" applyFont="1" applyFill="1" applyBorder="1" applyAlignment="1">
      <alignment horizontal="left" wrapText="1"/>
    </xf>
    <xf numFmtId="0" fontId="13" fillId="3" borderId="1" xfId="0" applyFont="1" applyFill="1" applyBorder="1" applyAlignment="1">
      <alignment horizontal="left" wrapText="1"/>
    </xf>
    <xf numFmtId="2" fontId="0" fillId="4" borderId="1" xfId="0" applyNumberFormat="1" applyFill="1" applyBorder="1"/>
    <xf numFmtId="0" fontId="1" fillId="0" borderId="30" xfId="0" applyFont="1" applyBorder="1"/>
    <xf numFmtId="0" fontId="1" fillId="0" borderId="30" xfId="0" applyFont="1" applyFill="1" applyBorder="1"/>
    <xf numFmtId="0" fontId="1" fillId="6" borderId="30" xfId="0" applyFont="1" applyFill="1" applyBorder="1" applyAlignment="1">
      <alignment horizontal="left"/>
    </xf>
    <xf numFmtId="0" fontId="1" fillId="11" borderId="30" xfId="0" applyFont="1" applyFill="1" applyBorder="1"/>
    <xf numFmtId="0" fontId="1" fillId="12" borderId="30" xfId="0" applyFont="1" applyFill="1" applyBorder="1"/>
    <xf numFmtId="9" fontId="1" fillId="12" borderId="30" xfId="1" applyFont="1" applyFill="1" applyBorder="1"/>
    <xf numFmtId="10" fontId="1" fillId="12" borderId="30" xfId="0" applyNumberFormat="1" applyFont="1" applyFill="1" applyBorder="1"/>
    <xf numFmtId="167" fontId="1" fillId="12" borderId="30" xfId="1" applyNumberFormat="1" applyFont="1" applyFill="1" applyBorder="1"/>
    <xf numFmtId="167" fontId="1" fillId="0" borderId="30" xfId="0" applyNumberFormat="1" applyFont="1" applyFill="1" applyBorder="1" applyAlignment="1">
      <alignment horizontal="center"/>
    </xf>
    <xf numFmtId="0" fontId="1" fillId="11" borderId="30" xfId="0" applyFont="1" applyFill="1" applyBorder="1" applyAlignment="1">
      <alignment horizontal="right"/>
    </xf>
    <xf numFmtId="0" fontId="1" fillId="0" borderId="31" xfId="0" applyFont="1" applyBorder="1"/>
    <xf numFmtId="0" fontId="1" fillId="0" borderId="32" xfId="0" applyFont="1" applyBorder="1"/>
    <xf numFmtId="0" fontId="1" fillId="0" borderId="33" xfId="0" applyFont="1" applyBorder="1"/>
    <xf numFmtId="0" fontId="1" fillId="0" borderId="34" xfId="0" applyFont="1" applyBorder="1"/>
    <xf numFmtId="0" fontId="1" fillId="0" borderId="30" xfId="0" applyFont="1" applyFill="1" applyBorder="1" applyAlignment="1">
      <alignment horizontal="left"/>
    </xf>
    <xf numFmtId="10" fontId="1" fillId="12" borderId="30" xfId="1" applyNumberFormat="1" applyFont="1" applyFill="1" applyBorder="1"/>
    <xf numFmtId="0" fontId="1" fillId="5" borderId="33" xfId="0" applyFont="1" applyFill="1" applyBorder="1" applyAlignment="1">
      <alignment horizontal="left"/>
    </xf>
    <xf numFmtId="0" fontId="1" fillId="11" borderId="34" xfId="0" applyFont="1" applyFill="1" applyBorder="1"/>
    <xf numFmtId="0" fontId="1" fillId="11" borderId="37" xfId="0" applyFont="1" applyFill="1" applyBorder="1"/>
    <xf numFmtId="2" fontId="1" fillId="12" borderId="38" xfId="0" applyNumberFormat="1" applyFont="1" applyFill="1" applyBorder="1" applyAlignment="1">
      <alignment horizontal="left"/>
    </xf>
    <xf numFmtId="2" fontId="1" fillId="12" borderId="40" xfId="0" applyNumberFormat="1" applyFont="1" applyFill="1" applyBorder="1" applyAlignment="1">
      <alignment horizontal="left"/>
    </xf>
    <xf numFmtId="0" fontId="1" fillId="12" borderId="40" xfId="0" applyFont="1" applyFill="1" applyBorder="1" applyAlignment="1">
      <alignment horizontal="left"/>
    </xf>
    <xf numFmtId="9" fontId="1" fillId="12" borderId="40" xfId="0" applyNumberFormat="1" applyFont="1" applyFill="1" applyBorder="1" applyAlignment="1">
      <alignment horizontal="left"/>
    </xf>
    <xf numFmtId="0" fontId="1" fillId="11" borderId="42" xfId="0" applyFont="1" applyFill="1" applyBorder="1"/>
    <xf numFmtId="9" fontId="1" fillId="12" borderId="43" xfId="1" applyFont="1" applyFill="1" applyBorder="1" applyAlignment="1">
      <alignment horizontal="left"/>
    </xf>
    <xf numFmtId="0" fontId="1" fillId="11" borderId="33" xfId="0" applyFont="1" applyFill="1" applyBorder="1"/>
    <xf numFmtId="165" fontId="1" fillId="12" borderId="40" xfId="0" applyNumberFormat="1" applyFont="1" applyFill="1" applyBorder="1" applyAlignment="1">
      <alignment horizontal="left"/>
    </xf>
    <xf numFmtId="165" fontId="1" fillId="12" borderId="43" xfId="0" applyNumberFormat="1" applyFont="1" applyFill="1" applyBorder="1" applyAlignment="1">
      <alignment horizontal="left"/>
    </xf>
    <xf numFmtId="0" fontId="1" fillId="11" borderId="32" xfId="0" applyFont="1" applyFill="1" applyBorder="1"/>
    <xf numFmtId="0" fontId="2" fillId="3" borderId="32" xfId="0" applyFont="1" applyFill="1" applyBorder="1"/>
    <xf numFmtId="2" fontId="1" fillId="0" borderId="30" xfId="0" applyNumberFormat="1" applyFont="1" applyFill="1" applyBorder="1"/>
    <xf numFmtId="0" fontId="13" fillId="0" borderId="32" xfId="0" applyFont="1" applyFill="1" applyBorder="1" applyAlignment="1">
      <alignment horizontal="center" vertical="center" wrapText="1"/>
    </xf>
    <xf numFmtId="0" fontId="12" fillId="0" borderId="32" xfId="0" applyFont="1" applyFill="1" applyBorder="1" applyAlignment="1">
      <alignment horizontal="center" vertical="center" wrapText="1"/>
    </xf>
    <xf numFmtId="167" fontId="1" fillId="0" borderId="32" xfId="0" applyNumberFormat="1" applyFont="1" applyFill="1" applyBorder="1" applyAlignment="1">
      <alignment horizontal="center"/>
    </xf>
    <xf numFmtId="167" fontId="1" fillId="0" borderId="34" xfId="1" applyNumberFormat="1" applyFont="1" applyFill="1" applyBorder="1" applyAlignment="1">
      <alignment horizontal="left"/>
    </xf>
    <xf numFmtId="0" fontId="1" fillId="11" borderId="37" xfId="0" applyFont="1" applyFill="1" applyBorder="1" applyAlignment="1">
      <alignment horizontal="right"/>
    </xf>
    <xf numFmtId="167" fontId="1" fillId="12" borderId="38" xfId="0" applyNumberFormat="1" applyFont="1" applyFill="1" applyBorder="1" applyAlignment="1">
      <alignment horizontal="left"/>
    </xf>
    <xf numFmtId="167" fontId="1" fillId="12" borderId="40" xfId="1" applyNumberFormat="1" applyFont="1" applyFill="1" applyBorder="1" applyAlignment="1">
      <alignment horizontal="left"/>
    </xf>
    <xf numFmtId="0" fontId="1" fillId="11" borderId="42" xfId="0" applyFont="1" applyFill="1" applyBorder="1" applyAlignment="1">
      <alignment horizontal="right"/>
    </xf>
    <xf numFmtId="167" fontId="1" fillId="12" borderId="43" xfId="1" applyNumberFormat="1" applyFont="1" applyFill="1" applyBorder="1" applyAlignment="1">
      <alignment horizontal="left"/>
    </xf>
    <xf numFmtId="2" fontId="1" fillId="0" borderId="32" xfId="0" applyNumberFormat="1" applyFont="1" applyFill="1" applyBorder="1"/>
    <xf numFmtId="0" fontId="2" fillId="3" borderId="56" xfId="0" applyFont="1" applyFill="1" applyBorder="1"/>
    <xf numFmtId="9" fontId="1" fillId="12" borderId="40" xfId="1" applyFont="1" applyFill="1" applyBorder="1" applyAlignment="1">
      <alignment horizontal="left"/>
    </xf>
    <xf numFmtId="2" fontId="1" fillId="12" borderId="40" xfId="1" applyNumberFormat="1" applyFont="1" applyFill="1" applyBorder="1" applyAlignment="1">
      <alignment horizontal="left"/>
    </xf>
    <xf numFmtId="0" fontId="2" fillId="3" borderId="50" xfId="0" applyFont="1" applyFill="1" applyBorder="1"/>
    <xf numFmtId="167" fontId="1" fillId="12" borderId="43" xfId="0" applyNumberFormat="1" applyFont="1" applyFill="1" applyBorder="1" applyAlignment="1">
      <alignment horizontal="left"/>
    </xf>
    <xf numFmtId="10" fontId="1" fillId="12" borderId="40" xfId="0" applyNumberFormat="1" applyFont="1" applyFill="1" applyBorder="1" applyAlignment="1">
      <alignment horizontal="left"/>
    </xf>
    <xf numFmtId="0" fontId="0" fillId="13" borderId="14" xfId="0" applyFill="1" applyBorder="1"/>
    <xf numFmtId="0" fontId="0" fillId="13" borderId="16" xfId="0" applyFill="1" applyBorder="1"/>
    <xf numFmtId="0" fontId="0" fillId="13" borderId="17" xfId="0" applyFill="1" applyBorder="1"/>
    <xf numFmtId="0" fontId="0" fillId="13" borderId="18" xfId="0" applyFill="1" applyBorder="1"/>
    <xf numFmtId="0" fontId="0" fillId="13" borderId="28" xfId="0" applyFill="1" applyBorder="1"/>
    <xf numFmtId="0" fontId="0" fillId="13" borderId="29" xfId="0" applyFill="1" applyBorder="1"/>
    <xf numFmtId="0" fontId="11" fillId="0" borderId="30" xfId="0" applyFont="1" applyBorder="1"/>
    <xf numFmtId="0" fontId="23" fillId="0" borderId="30" xfId="0" applyFont="1" applyBorder="1"/>
    <xf numFmtId="0" fontId="11" fillId="0" borderId="32" xfId="0" applyFont="1" applyBorder="1"/>
    <xf numFmtId="0" fontId="21" fillId="11" borderId="37" xfId="0" applyFont="1" applyFill="1" applyBorder="1"/>
    <xf numFmtId="0" fontId="21" fillId="11" borderId="38" xfId="0" applyFont="1" applyFill="1" applyBorder="1"/>
    <xf numFmtId="0" fontId="1" fillId="12" borderId="40" xfId="0" applyFont="1" applyFill="1" applyBorder="1"/>
    <xf numFmtId="9" fontId="1" fillId="12" borderId="42" xfId="1" applyFont="1" applyFill="1" applyBorder="1"/>
    <xf numFmtId="0" fontId="1" fillId="12" borderId="42" xfId="0" applyFont="1" applyFill="1" applyBorder="1"/>
    <xf numFmtId="0" fontId="1" fillId="12" borderId="43" xfId="0" applyFont="1" applyFill="1" applyBorder="1"/>
    <xf numFmtId="9" fontId="1" fillId="12" borderId="34" xfId="1" applyFont="1" applyFill="1" applyBorder="1"/>
    <xf numFmtId="0" fontId="1" fillId="11" borderId="52" xfId="0" applyFont="1" applyFill="1" applyBorder="1" applyAlignment="1">
      <alignment horizontal="center"/>
    </xf>
    <xf numFmtId="0" fontId="21" fillId="11" borderId="53" xfId="0" applyFont="1" applyFill="1" applyBorder="1"/>
    <xf numFmtId="0" fontId="21" fillId="11" borderId="54" xfId="0" applyFont="1" applyFill="1" applyBorder="1"/>
    <xf numFmtId="0" fontId="1" fillId="12" borderId="34" xfId="0" applyFont="1" applyFill="1" applyBorder="1"/>
    <xf numFmtId="9" fontId="1" fillId="12" borderId="37" xfId="1" applyFont="1" applyFill="1" applyBorder="1"/>
    <xf numFmtId="9" fontId="1" fillId="12" borderId="38" xfId="1" applyFont="1" applyFill="1" applyBorder="1"/>
    <xf numFmtId="9" fontId="1" fillId="12" borderId="40" xfId="1" applyFont="1" applyFill="1" applyBorder="1"/>
    <xf numFmtId="0" fontId="1" fillId="11" borderId="45" xfId="0" applyFont="1" applyFill="1" applyBorder="1"/>
    <xf numFmtId="10" fontId="1" fillId="12" borderId="42" xfId="1" applyNumberFormat="1" applyFont="1" applyFill="1" applyBorder="1"/>
    <xf numFmtId="10" fontId="1" fillId="12" borderId="33" xfId="1" applyNumberFormat="1" applyFont="1" applyFill="1" applyBorder="1"/>
    <xf numFmtId="0" fontId="1" fillId="12" borderId="58" xfId="0" applyFont="1" applyFill="1" applyBorder="1"/>
    <xf numFmtId="167" fontId="1" fillId="12" borderId="42" xfId="1" applyNumberFormat="1" applyFont="1" applyFill="1" applyBorder="1"/>
    <xf numFmtId="167" fontId="1" fillId="12" borderId="33" xfId="1" applyNumberFormat="1" applyFont="1" applyFill="1" applyBorder="1"/>
    <xf numFmtId="0" fontId="1" fillId="0" borderId="35" xfId="0" applyFont="1" applyFill="1" applyBorder="1"/>
    <xf numFmtId="0" fontId="1" fillId="0" borderId="33" xfId="0" applyFont="1" applyFill="1" applyBorder="1"/>
    <xf numFmtId="0" fontId="1" fillId="11" borderId="46" xfId="0" applyFont="1" applyFill="1" applyBorder="1"/>
    <xf numFmtId="0" fontId="1" fillId="11" borderId="36" xfId="0" applyFont="1" applyFill="1" applyBorder="1"/>
    <xf numFmtId="0" fontId="1" fillId="11" borderId="55" xfId="0" applyFont="1" applyFill="1" applyBorder="1"/>
    <xf numFmtId="0" fontId="1" fillId="12" borderId="33" xfId="0" applyFont="1" applyFill="1" applyBorder="1"/>
    <xf numFmtId="9" fontId="1" fillId="12" borderId="64" xfId="1" applyFont="1" applyFill="1" applyBorder="1"/>
    <xf numFmtId="9" fontId="1" fillId="12" borderId="33" xfId="1" applyFont="1" applyFill="1" applyBorder="1"/>
    <xf numFmtId="9" fontId="1" fillId="12" borderId="58" xfId="1" applyFont="1" applyFill="1" applyBorder="1"/>
    <xf numFmtId="0" fontId="1" fillId="11" borderId="30" xfId="0" applyFont="1" applyFill="1" applyBorder="1" applyAlignment="1">
      <alignment wrapText="1"/>
    </xf>
    <xf numFmtId="0" fontId="22" fillId="0" borderId="55" xfId="0" applyFont="1" applyBorder="1" applyAlignment="1">
      <alignment wrapText="1"/>
    </xf>
    <xf numFmtId="0" fontId="1" fillId="0" borderId="51" xfId="0" applyFont="1" applyBorder="1"/>
    <xf numFmtId="0" fontId="22" fillId="11" borderId="1" xfId="0" applyFont="1" applyFill="1" applyBorder="1" applyAlignment="1">
      <alignment wrapText="1"/>
    </xf>
    <xf numFmtId="0" fontId="0" fillId="2" borderId="0" xfId="0" applyFill="1" applyAlignment="1">
      <alignment horizontal="center"/>
    </xf>
    <xf numFmtId="0" fontId="1" fillId="0" borderId="33" xfId="0" applyFont="1" applyFill="1" applyBorder="1" applyAlignment="1">
      <alignment horizontal="left"/>
    </xf>
    <xf numFmtId="0" fontId="0" fillId="5" borderId="0" xfId="0" applyFill="1" applyBorder="1"/>
    <xf numFmtId="0" fontId="1" fillId="5" borderId="47" xfId="0" applyFont="1" applyFill="1" applyBorder="1"/>
    <xf numFmtId="0" fontId="1" fillId="5" borderId="49" xfId="0" applyFont="1" applyFill="1" applyBorder="1"/>
    <xf numFmtId="0" fontId="24" fillId="2" borderId="0" xfId="0" applyFont="1" applyFill="1"/>
    <xf numFmtId="165" fontId="0" fillId="8" borderId="1" xfId="0" applyNumberFormat="1" applyFill="1" applyBorder="1" applyAlignment="1">
      <alignment horizontal="left"/>
    </xf>
    <xf numFmtId="0" fontId="25" fillId="2" borderId="0" xfId="0" applyFont="1" applyFill="1"/>
    <xf numFmtId="0" fontId="11" fillId="5" borderId="0" xfId="0" applyFont="1" applyFill="1"/>
    <xf numFmtId="0" fontId="1" fillId="14" borderId="2" xfId="0" applyFont="1" applyFill="1" applyBorder="1"/>
    <xf numFmtId="0" fontId="1" fillId="14" borderId="27" xfId="0" applyFont="1" applyFill="1" applyBorder="1"/>
    <xf numFmtId="0" fontId="1" fillId="14" borderId="25" xfId="0" applyFont="1" applyFill="1" applyBorder="1"/>
    <xf numFmtId="0" fontId="11" fillId="5" borderId="0" xfId="0" applyFont="1" applyFill="1" applyAlignment="1">
      <alignment wrapText="1"/>
    </xf>
    <xf numFmtId="0" fontId="11" fillId="5" borderId="0" xfId="0" applyFont="1" applyFill="1" applyAlignment="1">
      <alignment vertical="top" wrapText="1"/>
    </xf>
    <xf numFmtId="9" fontId="1" fillId="8" borderId="38" xfId="1" applyFont="1" applyFill="1" applyBorder="1" applyAlignment="1">
      <alignment horizontal="left"/>
    </xf>
    <xf numFmtId="0" fontId="1" fillId="5" borderId="0" xfId="0" applyFont="1" applyFill="1" applyBorder="1" applyAlignment="1">
      <alignment horizontal="left"/>
    </xf>
    <xf numFmtId="0" fontId="1" fillId="5" borderId="0" xfId="0" applyFont="1" applyFill="1" applyBorder="1"/>
    <xf numFmtId="10" fontId="1" fillId="8" borderId="43" xfId="1" applyNumberFormat="1" applyFont="1" applyFill="1" applyBorder="1" applyAlignment="1">
      <alignment horizontal="left"/>
    </xf>
    <xf numFmtId="167" fontId="1" fillId="12" borderId="68" xfId="1" applyNumberFormat="1" applyFont="1" applyFill="1" applyBorder="1" applyAlignment="1">
      <alignment horizontal="left"/>
    </xf>
    <xf numFmtId="0" fontId="0" fillId="15" borderId="0" xfId="0" applyFill="1"/>
    <xf numFmtId="0" fontId="27" fillId="15" borderId="0" xfId="0" applyFont="1" applyFill="1" applyAlignment="1">
      <alignment wrapText="1"/>
    </xf>
    <xf numFmtId="0" fontId="3" fillId="15" borderId="0" xfId="0" applyFont="1" applyFill="1"/>
    <xf numFmtId="0" fontId="28" fillId="15" borderId="0" xfId="0" applyFont="1" applyFill="1"/>
    <xf numFmtId="164" fontId="1" fillId="3" borderId="25" xfId="0" applyNumberFormat="1" applyFont="1" applyFill="1" applyBorder="1"/>
    <xf numFmtId="0" fontId="29" fillId="15" borderId="0" xfId="0" applyFont="1" applyFill="1"/>
    <xf numFmtId="2" fontId="0" fillId="10" borderId="1" xfId="0" applyNumberFormat="1" applyFill="1" applyBorder="1"/>
    <xf numFmtId="2" fontId="0" fillId="2" borderId="1" xfId="0" applyNumberFormat="1" applyFill="1" applyBorder="1" applyAlignment="1">
      <alignment horizontal="right"/>
    </xf>
    <xf numFmtId="0" fontId="27" fillId="15" borderId="0" xfId="0" applyFont="1" applyFill="1" applyAlignment="1">
      <alignment horizontal="center" wrapText="1"/>
    </xf>
    <xf numFmtId="0" fontId="26" fillId="15" borderId="0" xfId="0" applyFont="1" applyFill="1" applyAlignment="1">
      <alignment horizontal="center"/>
    </xf>
    <xf numFmtId="0" fontId="15" fillId="14" borderId="12" xfId="0" applyFont="1" applyFill="1" applyBorder="1" applyAlignment="1">
      <alignment horizontal="center"/>
    </xf>
    <xf numFmtId="0" fontId="15" fillId="14" borderId="13" xfId="0" applyFont="1" applyFill="1" applyBorder="1" applyAlignment="1">
      <alignment horizontal="center"/>
    </xf>
    <xf numFmtId="0" fontId="15" fillId="14" borderId="4" xfId="0" applyFont="1" applyFill="1" applyBorder="1" applyAlignment="1">
      <alignment horizontal="center"/>
    </xf>
    <xf numFmtId="0" fontId="2" fillId="14" borderId="14" xfId="0" applyFont="1" applyFill="1" applyBorder="1" applyAlignment="1">
      <alignment horizontal="center" vertical="center" wrapText="1"/>
    </xf>
    <xf numFmtId="0" fontId="2" fillId="14" borderId="15" xfId="0" applyFont="1" applyFill="1" applyBorder="1" applyAlignment="1">
      <alignment horizontal="center" vertical="center" wrapText="1"/>
    </xf>
    <xf numFmtId="0" fontId="2" fillId="14" borderId="16" xfId="0" applyFont="1" applyFill="1" applyBorder="1" applyAlignment="1">
      <alignment horizontal="center" vertical="center" wrapText="1"/>
    </xf>
    <xf numFmtId="0" fontId="2" fillId="14" borderId="28" xfId="0" applyFont="1" applyFill="1" applyBorder="1" applyAlignment="1">
      <alignment horizontal="center" vertical="center" wrapText="1"/>
    </xf>
    <xf numFmtId="0" fontId="2" fillId="14" borderId="26" xfId="0" applyFont="1" applyFill="1" applyBorder="1" applyAlignment="1">
      <alignment horizontal="center" vertical="center" wrapText="1"/>
    </xf>
    <xf numFmtId="0" fontId="2" fillId="14" borderId="29" xfId="0" applyFont="1" applyFill="1" applyBorder="1" applyAlignment="1">
      <alignment horizontal="center" vertical="center" wrapText="1"/>
    </xf>
    <xf numFmtId="0" fontId="2" fillId="14" borderId="12" xfId="0" applyFont="1" applyFill="1" applyBorder="1" applyAlignment="1">
      <alignment horizontal="center"/>
    </xf>
    <xf numFmtId="0" fontId="2" fillId="14" borderId="13" xfId="0" applyFont="1" applyFill="1" applyBorder="1" applyAlignment="1">
      <alignment horizontal="center"/>
    </xf>
    <xf numFmtId="0" fontId="2" fillId="14" borderId="4" xfId="0" applyFont="1" applyFill="1" applyBorder="1" applyAlignment="1">
      <alignment horizontal="center"/>
    </xf>
    <xf numFmtId="0" fontId="11" fillId="5" borderId="14" xfId="0" applyFont="1" applyFill="1" applyBorder="1" applyAlignment="1">
      <alignment horizontal="left" wrapText="1"/>
    </xf>
    <xf numFmtId="0" fontId="11" fillId="5" borderId="15" xfId="0" applyFont="1" applyFill="1" applyBorder="1" applyAlignment="1">
      <alignment horizontal="left" wrapText="1"/>
    </xf>
    <xf numFmtId="0" fontId="11" fillId="5" borderId="16" xfId="0" applyFont="1" applyFill="1" applyBorder="1" applyAlignment="1">
      <alignment horizontal="left" wrapText="1"/>
    </xf>
    <xf numFmtId="0" fontId="11" fillId="5" borderId="17" xfId="0" applyFont="1" applyFill="1" applyBorder="1" applyAlignment="1">
      <alignment horizontal="left" wrapText="1"/>
    </xf>
    <xf numFmtId="0" fontId="11" fillId="5" borderId="0" xfId="0" applyFont="1" applyFill="1" applyBorder="1" applyAlignment="1">
      <alignment horizontal="left" wrapText="1"/>
    </xf>
    <xf numFmtId="0" fontId="11" fillId="5" borderId="18" xfId="0" applyFont="1" applyFill="1" applyBorder="1" applyAlignment="1">
      <alignment horizontal="left" wrapText="1"/>
    </xf>
    <xf numFmtId="0" fontId="11" fillId="5" borderId="28" xfId="0" applyFont="1" applyFill="1" applyBorder="1" applyAlignment="1">
      <alignment horizontal="left" wrapText="1"/>
    </xf>
    <xf numFmtId="0" fontId="11" fillId="5" borderId="26" xfId="0" applyFont="1" applyFill="1" applyBorder="1" applyAlignment="1">
      <alignment horizontal="left" wrapText="1"/>
    </xf>
    <xf numFmtId="0" fontId="11" fillId="5" borderId="29" xfId="0" applyFont="1" applyFill="1" applyBorder="1" applyAlignment="1">
      <alignment horizontal="left" wrapText="1"/>
    </xf>
    <xf numFmtId="0" fontId="1" fillId="14" borderId="1" xfId="0" applyFont="1" applyFill="1" applyBorder="1" applyAlignment="1">
      <alignment horizontal="right" vertical="top"/>
    </xf>
    <xf numFmtId="0" fontId="2" fillId="14" borderId="1" xfId="0" applyFont="1" applyFill="1" applyBorder="1" applyAlignment="1">
      <alignment horizontal="center"/>
    </xf>
    <xf numFmtId="0" fontId="11" fillId="5" borderId="0" xfId="0" applyFont="1" applyFill="1" applyBorder="1" applyAlignment="1">
      <alignment vertical="top" wrapText="1"/>
    </xf>
    <xf numFmtId="0" fontId="11" fillId="5" borderId="18" xfId="0" applyFont="1" applyFill="1" applyBorder="1" applyAlignment="1">
      <alignment vertical="top" wrapText="1"/>
    </xf>
    <xf numFmtId="0" fontId="1" fillId="14" borderId="2" xfId="0" applyFont="1" applyFill="1" applyBorder="1" applyAlignment="1">
      <alignment horizontal="right" vertical="top"/>
    </xf>
    <xf numFmtId="0" fontId="1" fillId="14" borderId="25" xfId="0" applyFont="1" applyFill="1" applyBorder="1" applyAlignment="1">
      <alignment horizontal="right" vertical="top"/>
    </xf>
    <xf numFmtId="0" fontId="11" fillId="5" borderId="1" xfId="0" applyFont="1" applyFill="1" applyBorder="1" applyAlignment="1">
      <alignment horizontal="center" vertical="top" wrapText="1"/>
    </xf>
    <xf numFmtId="0" fontId="11" fillId="5" borderId="14" xfId="0" applyFont="1" applyFill="1" applyBorder="1" applyAlignment="1">
      <alignment horizontal="left" vertical="top" wrapText="1"/>
    </xf>
    <xf numFmtId="0" fontId="11" fillId="5" borderId="15" xfId="0" applyFont="1" applyFill="1" applyBorder="1" applyAlignment="1">
      <alignment horizontal="left" vertical="top" wrapText="1"/>
    </xf>
    <xf numFmtId="0" fontId="11" fillId="5" borderId="16" xfId="0" applyFont="1" applyFill="1" applyBorder="1" applyAlignment="1">
      <alignment horizontal="left" vertical="top" wrapText="1"/>
    </xf>
    <xf numFmtId="0" fontId="11" fillId="5" borderId="28" xfId="0" applyFont="1" applyFill="1" applyBorder="1" applyAlignment="1">
      <alignment horizontal="left" vertical="top" wrapText="1"/>
    </xf>
    <xf numFmtId="0" fontId="11" fillId="5" borderId="26" xfId="0" applyFont="1" applyFill="1" applyBorder="1" applyAlignment="1">
      <alignment horizontal="left" vertical="top" wrapText="1"/>
    </xf>
    <xf numFmtId="0" fontId="11" fillId="5" borderId="29" xfId="0" applyFont="1" applyFill="1" applyBorder="1" applyAlignment="1">
      <alignment horizontal="left" vertical="top" wrapText="1"/>
    </xf>
    <xf numFmtId="0" fontId="1" fillId="14" borderId="14" xfId="0" applyFont="1" applyFill="1" applyBorder="1" applyAlignment="1">
      <alignment horizontal="right" vertical="top"/>
    </xf>
    <xf numFmtId="0" fontId="1" fillId="14" borderId="17" xfId="0" applyFont="1" applyFill="1" applyBorder="1" applyAlignment="1">
      <alignment horizontal="right" vertical="top"/>
    </xf>
    <xf numFmtId="0" fontId="11" fillId="5" borderId="1" xfId="0" applyFont="1" applyFill="1" applyBorder="1" applyAlignment="1">
      <alignment horizontal="left" wrapText="1"/>
    </xf>
    <xf numFmtId="0" fontId="11" fillId="5" borderId="14" xfId="0" applyFont="1" applyFill="1" applyBorder="1" applyAlignment="1">
      <alignment horizontal="left" vertical="center" wrapText="1"/>
    </xf>
    <xf numFmtId="0" fontId="11" fillId="5" borderId="15" xfId="0" applyFont="1" applyFill="1" applyBorder="1" applyAlignment="1">
      <alignment horizontal="left" vertical="center" wrapText="1"/>
    </xf>
    <xf numFmtId="0" fontId="11" fillId="5" borderId="16" xfId="0" applyFont="1" applyFill="1" applyBorder="1" applyAlignment="1">
      <alignment horizontal="left" vertical="center" wrapText="1"/>
    </xf>
    <xf numFmtId="0" fontId="11" fillId="5" borderId="17" xfId="0" applyFont="1" applyFill="1" applyBorder="1" applyAlignment="1">
      <alignment horizontal="left" vertical="center" wrapText="1"/>
    </xf>
    <xf numFmtId="0" fontId="11" fillId="5" borderId="0" xfId="0" applyFont="1" applyFill="1" applyBorder="1" applyAlignment="1">
      <alignment horizontal="left" vertical="center" wrapText="1"/>
    </xf>
    <xf numFmtId="0" fontId="11" fillId="5" borderId="18" xfId="0" applyFont="1" applyFill="1" applyBorder="1" applyAlignment="1">
      <alignment horizontal="left" vertical="center" wrapText="1"/>
    </xf>
    <xf numFmtId="0" fontId="2" fillId="14" borderId="14" xfId="0" applyFont="1" applyFill="1" applyBorder="1" applyAlignment="1">
      <alignment horizontal="center"/>
    </xf>
    <xf numFmtId="0" fontId="2" fillId="14" borderId="15" xfId="0" applyFont="1" applyFill="1" applyBorder="1" applyAlignment="1">
      <alignment horizontal="center"/>
    </xf>
    <xf numFmtId="0" fontId="2" fillId="14" borderId="16" xfId="0" applyFont="1" applyFill="1" applyBorder="1" applyAlignment="1">
      <alignment horizontal="center"/>
    </xf>
    <xf numFmtId="0" fontId="5" fillId="10" borderId="1" xfId="0" applyFont="1" applyFill="1" applyBorder="1" applyAlignment="1">
      <alignment horizontal="left" wrapText="1"/>
    </xf>
    <xf numFmtId="0" fontId="17" fillId="3" borderId="1" xfId="0" applyFont="1" applyFill="1" applyBorder="1" applyAlignment="1">
      <alignment horizontal="left" wrapText="1"/>
    </xf>
    <xf numFmtId="0" fontId="15" fillId="3" borderId="1" xfId="0" applyFont="1" applyFill="1" applyBorder="1" applyAlignment="1">
      <alignment horizontal="center"/>
    </xf>
    <xf numFmtId="0" fontId="17" fillId="3" borderId="12" xfId="0" applyFont="1" applyFill="1" applyBorder="1" applyAlignment="1">
      <alignment horizontal="center"/>
    </xf>
    <xf numFmtId="0" fontId="17" fillId="3" borderId="13" xfId="0" applyFont="1" applyFill="1" applyBorder="1" applyAlignment="1">
      <alignment horizontal="center"/>
    </xf>
    <xf numFmtId="0" fontId="17" fillId="3" borderId="4" xfId="0" applyFont="1" applyFill="1" applyBorder="1" applyAlignment="1">
      <alignment horizontal="center"/>
    </xf>
    <xf numFmtId="0" fontId="1" fillId="3" borderId="2" xfId="0" applyFont="1" applyFill="1" applyBorder="1" applyAlignment="1">
      <alignment horizontal="center" wrapText="1"/>
    </xf>
    <xf numFmtId="0" fontId="1" fillId="3" borderId="25" xfId="0" applyFont="1" applyFill="1" applyBorder="1" applyAlignment="1">
      <alignment horizontal="center" wrapText="1"/>
    </xf>
    <xf numFmtId="167" fontId="0" fillId="4" borderId="2" xfId="0" applyNumberFormat="1" applyFill="1" applyBorder="1" applyAlignment="1">
      <alignment horizontal="right" vertical="center"/>
    </xf>
    <xf numFmtId="167" fontId="0" fillId="4" borderId="25" xfId="0" applyNumberFormat="1" applyFill="1" applyBorder="1" applyAlignment="1">
      <alignment horizontal="right" vertical="center"/>
    </xf>
    <xf numFmtId="0" fontId="16" fillId="9" borderId="1" xfId="0" applyFont="1" applyFill="1" applyBorder="1" applyAlignment="1">
      <alignment horizontal="center" wrapText="1"/>
    </xf>
    <xf numFmtId="0" fontId="1" fillId="3" borderId="1" xfId="0" applyFont="1" applyFill="1" applyBorder="1" applyAlignment="1">
      <alignment horizontal="center"/>
    </xf>
    <xf numFmtId="0" fontId="16" fillId="9" borderId="12" xfId="0" applyFont="1" applyFill="1" applyBorder="1" applyAlignment="1">
      <alignment horizontal="center" wrapText="1"/>
    </xf>
    <xf numFmtId="0" fontId="16" fillId="9" borderId="13" xfId="0" applyFont="1" applyFill="1" applyBorder="1" applyAlignment="1">
      <alignment horizontal="center" wrapText="1"/>
    </xf>
    <xf numFmtId="0" fontId="16" fillId="9" borderId="4" xfId="0" applyFont="1" applyFill="1" applyBorder="1" applyAlignment="1">
      <alignment horizontal="center" wrapText="1"/>
    </xf>
    <xf numFmtId="0" fontId="2" fillId="3" borderId="12" xfId="0" applyFont="1" applyFill="1" applyBorder="1" applyAlignment="1">
      <alignment horizontal="center"/>
    </xf>
    <xf numFmtId="0" fontId="2" fillId="3" borderId="4" xfId="0" applyFont="1" applyFill="1" applyBorder="1" applyAlignment="1">
      <alignment horizontal="center"/>
    </xf>
    <xf numFmtId="0" fontId="17" fillId="3" borderId="2" xfId="0" applyFont="1" applyFill="1" applyBorder="1" applyAlignment="1">
      <alignment horizontal="center" vertical="center"/>
    </xf>
    <xf numFmtId="0" fontId="17" fillId="3" borderId="27" xfId="0" applyFont="1" applyFill="1" applyBorder="1" applyAlignment="1">
      <alignment horizontal="center" vertical="center"/>
    </xf>
    <xf numFmtId="0" fontId="17" fillId="3" borderId="25" xfId="0" applyFont="1" applyFill="1" applyBorder="1" applyAlignment="1">
      <alignment horizontal="center" vertical="center"/>
    </xf>
    <xf numFmtId="0" fontId="0" fillId="2" borderId="12" xfId="0" applyFill="1" applyBorder="1" applyAlignment="1">
      <alignment horizontal="center"/>
    </xf>
    <xf numFmtId="0" fontId="0" fillId="2" borderId="13" xfId="0" applyFill="1" applyBorder="1" applyAlignment="1">
      <alignment horizontal="center"/>
    </xf>
    <xf numFmtId="0" fontId="0" fillId="2" borderId="4" xfId="0" applyFill="1" applyBorder="1" applyAlignment="1">
      <alignment horizontal="center"/>
    </xf>
    <xf numFmtId="0" fontId="15" fillId="4" borderId="1" xfId="0" applyFont="1" applyFill="1" applyBorder="1" applyAlignment="1">
      <alignment horizontal="center"/>
    </xf>
    <xf numFmtId="0" fontId="2" fillId="3" borderId="13" xfId="0" applyFont="1" applyFill="1" applyBorder="1" applyAlignment="1">
      <alignment horizontal="center"/>
    </xf>
    <xf numFmtId="0" fontId="2" fillId="3" borderId="1" xfId="0" applyFont="1" applyFill="1" applyBorder="1" applyAlignment="1">
      <alignment horizontal="center"/>
    </xf>
    <xf numFmtId="0" fontId="5" fillId="2" borderId="0" xfId="0" applyFont="1" applyFill="1" applyAlignment="1">
      <alignment horizontal="left" wrapText="1"/>
    </xf>
    <xf numFmtId="0" fontId="0" fillId="2" borderId="0" xfId="0" applyFill="1" applyAlignment="1">
      <alignment horizontal="center"/>
    </xf>
    <xf numFmtId="0" fontId="3" fillId="2" borderId="0" xfId="0" applyFont="1" applyFill="1" applyAlignment="1">
      <alignment horizontal="center"/>
    </xf>
    <xf numFmtId="0" fontId="1" fillId="3" borderId="2" xfId="0" applyFont="1" applyFill="1" applyBorder="1" applyAlignment="1">
      <alignment horizontal="left" vertical="top" wrapText="1"/>
    </xf>
    <xf numFmtId="0" fontId="1" fillId="3" borderId="27" xfId="0" applyFont="1" applyFill="1" applyBorder="1" applyAlignment="1">
      <alignment horizontal="left" vertical="top" wrapText="1"/>
    </xf>
    <xf numFmtId="0" fontId="1" fillId="3" borderId="25" xfId="0" applyFont="1" applyFill="1" applyBorder="1" applyAlignment="1">
      <alignment horizontal="left" vertical="top" wrapText="1"/>
    </xf>
    <xf numFmtId="0" fontId="0" fillId="2" borderId="12" xfId="0" applyFill="1" applyBorder="1" applyAlignment="1">
      <alignment horizontal="center" vertical="center"/>
    </xf>
    <xf numFmtId="0" fontId="0" fillId="2" borderId="4" xfId="0" applyFill="1" applyBorder="1" applyAlignment="1">
      <alignment horizontal="center" vertical="center"/>
    </xf>
    <xf numFmtId="9" fontId="0" fillId="2" borderId="12" xfId="0" applyNumberFormat="1" applyFill="1" applyBorder="1" applyAlignment="1">
      <alignment horizontal="center" vertical="center"/>
    </xf>
    <xf numFmtId="9" fontId="0" fillId="2" borderId="4" xfId="0" applyNumberFormat="1" applyFill="1" applyBorder="1" applyAlignment="1">
      <alignment horizontal="center" vertical="center"/>
    </xf>
    <xf numFmtId="0" fontId="1" fillId="3" borderId="12" xfId="0" applyFont="1" applyFill="1" applyBorder="1" applyAlignment="1">
      <alignment horizontal="center"/>
    </xf>
    <xf numFmtId="0" fontId="1" fillId="3" borderId="4" xfId="0" applyFont="1" applyFill="1" applyBorder="1" applyAlignment="1">
      <alignment horizontal="center"/>
    </xf>
    <xf numFmtId="0" fontId="15" fillId="3" borderId="12" xfId="0" applyFont="1" applyFill="1" applyBorder="1" applyAlignment="1">
      <alignment horizontal="center"/>
    </xf>
    <xf numFmtId="0" fontId="15" fillId="3" borderId="13" xfId="0" applyFont="1" applyFill="1" applyBorder="1" applyAlignment="1">
      <alignment horizontal="center"/>
    </xf>
    <xf numFmtId="0" fontId="2" fillId="3" borderId="2" xfId="0" applyFont="1" applyFill="1" applyBorder="1" applyAlignment="1">
      <alignment horizontal="left" wrapText="1"/>
    </xf>
    <xf numFmtId="0" fontId="2" fillId="3" borderId="25" xfId="0" applyFont="1" applyFill="1" applyBorder="1" applyAlignment="1">
      <alignment horizontal="left" wrapText="1"/>
    </xf>
    <xf numFmtId="0" fontId="15" fillId="4" borderId="28" xfId="0" applyFont="1" applyFill="1" applyBorder="1" applyAlignment="1">
      <alignment horizontal="center" wrapText="1"/>
    </xf>
    <xf numFmtId="0" fontId="15" fillId="4" borderId="26" xfId="0" applyFont="1" applyFill="1" applyBorder="1" applyAlignment="1">
      <alignment horizontal="center" wrapText="1"/>
    </xf>
    <xf numFmtId="0" fontId="15" fillId="4" borderId="4" xfId="0" applyFont="1" applyFill="1" applyBorder="1" applyAlignment="1">
      <alignment horizontal="center" wrapText="1"/>
    </xf>
    <xf numFmtId="0" fontId="15" fillId="11" borderId="36" xfId="0" applyFont="1" applyFill="1" applyBorder="1" applyAlignment="1">
      <alignment horizontal="center" vertical="center"/>
    </xf>
    <xf numFmtId="0" fontId="15" fillId="11" borderId="39" xfId="0" applyFont="1" applyFill="1" applyBorder="1" applyAlignment="1">
      <alignment horizontal="center" vertical="center"/>
    </xf>
    <xf numFmtId="0" fontId="15" fillId="11" borderId="41" xfId="0" applyFont="1" applyFill="1" applyBorder="1" applyAlignment="1">
      <alignment horizontal="center" vertical="center"/>
    </xf>
    <xf numFmtId="0" fontId="2" fillId="4" borderId="47" xfId="0" applyFont="1" applyFill="1" applyBorder="1" applyAlignment="1">
      <alignment horizontal="center" vertical="center" wrapText="1"/>
    </xf>
    <xf numFmtId="0" fontId="2" fillId="4" borderId="48" xfId="0" applyFont="1" applyFill="1" applyBorder="1" applyAlignment="1">
      <alignment horizontal="center" vertical="center" wrapText="1"/>
    </xf>
    <xf numFmtId="0" fontId="2" fillId="4" borderId="49" xfId="0" applyFont="1" applyFill="1" applyBorder="1" applyAlignment="1">
      <alignment horizontal="center" vertical="center" wrapText="1"/>
    </xf>
    <xf numFmtId="0" fontId="1" fillId="11" borderId="30" xfId="0" applyFont="1" applyFill="1" applyBorder="1" applyAlignment="1">
      <alignment horizontal="left" wrapText="1"/>
    </xf>
    <xf numFmtId="0" fontId="2" fillId="3" borderId="44" xfId="0" applyFont="1" applyFill="1" applyBorder="1" applyAlignment="1">
      <alignment horizontal="center" vertical="center" wrapText="1"/>
    </xf>
    <xf numFmtId="0" fontId="2" fillId="3" borderId="45" xfId="0" applyFont="1" applyFill="1" applyBorder="1" applyAlignment="1">
      <alignment horizontal="center" vertical="center" wrapText="1"/>
    </xf>
    <xf numFmtId="0" fontId="2" fillId="3" borderId="46" xfId="0" applyFont="1" applyFill="1" applyBorder="1" applyAlignment="1">
      <alignment horizontal="center" vertical="center" wrapText="1"/>
    </xf>
    <xf numFmtId="0" fontId="15" fillId="4" borderId="52" xfId="0" applyFont="1" applyFill="1" applyBorder="1" applyAlignment="1">
      <alignment horizontal="center"/>
    </xf>
    <xf numFmtId="0" fontId="15" fillId="4" borderId="53" xfId="0" applyFont="1" applyFill="1" applyBorder="1" applyAlignment="1">
      <alignment horizontal="center"/>
    </xf>
    <xf numFmtId="0" fontId="15" fillId="4" borderId="54" xfId="0" applyFont="1" applyFill="1" applyBorder="1" applyAlignment="1">
      <alignment horizontal="center"/>
    </xf>
    <xf numFmtId="0" fontId="2" fillId="3" borderId="47" xfId="0" applyFont="1" applyFill="1" applyBorder="1" applyAlignment="1">
      <alignment horizontal="center" vertical="center" wrapText="1"/>
    </xf>
    <xf numFmtId="0" fontId="2" fillId="3" borderId="48" xfId="0" applyFont="1" applyFill="1" applyBorder="1" applyAlignment="1">
      <alignment horizontal="center" vertical="center" wrapText="1"/>
    </xf>
    <xf numFmtId="0" fontId="2" fillId="3" borderId="36" xfId="0" applyFont="1" applyFill="1" applyBorder="1" applyAlignment="1">
      <alignment horizontal="center" vertical="center" wrapText="1"/>
    </xf>
    <xf numFmtId="0" fontId="2" fillId="3" borderId="39" xfId="0" applyFont="1" applyFill="1" applyBorder="1" applyAlignment="1">
      <alignment horizontal="center" vertical="center" wrapText="1"/>
    </xf>
    <xf numFmtId="0" fontId="2" fillId="3" borderId="41" xfId="0" applyFont="1" applyFill="1" applyBorder="1" applyAlignment="1">
      <alignment horizontal="center" vertical="center" wrapText="1"/>
    </xf>
    <xf numFmtId="0" fontId="2" fillId="3" borderId="36" xfId="0" applyFont="1" applyFill="1" applyBorder="1" applyAlignment="1">
      <alignment horizontal="center" wrapText="1"/>
    </xf>
    <xf numFmtId="0" fontId="2" fillId="3" borderId="41" xfId="0" applyFont="1" applyFill="1" applyBorder="1" applyAlignment="1">
      <alignment horizontal="center" wrapText="1"/>
    </xf>
    <xf numFmtId="0" fontId="15" fillId="3" borderId="4" xfId="0" applyFont="1" applyFill="1" applyBorder="1" applyAlignment="1">
      <alignment horizontal="center"/>
    </xf>
    <xf numFmtId="0" fontId="15" fillId="11" borderId="1" xfId="0" applyFont="1" applyFill="1" applyBorder="1" applyAlignment="1">
      <alignment horizontal="center"/>
    </xf>
    <xf numFmtId="0" fontId="15" fillId="4" borderId="12" xfId="0" applyFont="1" applyFill="1" applyBorder="1" applyAlignment="1">
      <alignment horizontal="center"/>
    </xf>
    <xf numFmtId="0" fontId="15" fillId="4" borderId="13" xfId="0" applyFont="1" applyFill="1" applyBorder="1" applyAlignment="1">
      <alignment horizontal="center"/>
    </xf>
    <xf numFmtId="0" fontId="15" fillId="4" borderId="4" xfId="0" applyFont="1" applyFill="1" applyBorder="1" applyAlignment="1">
      <alignment horizontal="center"/>
    </xf>
    <xf numFmtId="0" fontId="2" fillId="3" borderId="1" xfId="0" applyFont="1" applyFill="1" applyBorder="1" applyAlignment="1">
      <alignment horizontal="center" wrapText="1"/>
    </xf>
    <xf numFmtId="0" fontId="2" fillId="3" borderId="12" xfId="0" applyFont="1" applyFill="1" applyBorder="1" applyAlignment="1">
      <alignment horizontal="center" wrapText="1"/>
    </xf>
    <xf numFmtId="0" fontId="2" fillId="3" borderId="13" xfId="0" applyFont="1" applyFill="1" applyBorder="1" applyAlignment="1">
      <alignment horizontal="center" wrapText="1"/>
    </xf>
    <xf numFmtId="0" fontId="2" fillId="3" borderId="4" xfId="0" applyFont="1" applyFill="1" applyBorder="1" applyAlignment="1">
      <alignment horizontal="center" wrapText="1"/>
    </xf>
    <xf numFmtId="2" fontId="0" fillId="8" borderId="2" xfId="0" applyNumberFormat="1" applyFill="1" applyBorder="1" applyAlignment="1">
      <alignment horizontal="center"/>
    </xf>
    <xf numFmtId="0" fontId="0" fillId="8" borderId="27" xfId="0" applyFill="1" applyBorder="1" applyAlignment="1">
      <alignment horizontal="center"/>
    </xf>
    <xf numFmtId="0" fontId="0" fillId="8" borderId="25" xfId="0" applyFill="1" applyBorder="1" applyAlignment="1">
      <alignment horizontal="center"/>
    </xf>
    <xf numFmtId="2" fontId="0" fillId="8" borderId="27" xfId="0" applyNumberFormat="1" applyFill="1" applyBorder="1" applyAlignment="1">
      <alignment horizontal="center"/>
    </xf>
    <xf numFmtId="2" fontId="0" fillId="8" borderId="25" xfId="0" applyNumberFormat="1" applyFill="1" applyBorder="1" applyAlignment="1">
      <alignment horizontal="center"/>
    </xf>
    <xf numFmtId="0" fontId="0" fillId="10" borderId="1" xfId="0" applyFill="1" applyBorder="1" applyAlignment="1">
      <alignment horizontal="left" wrapText="1"/>
    </xf>
    <xf numFmtId="10" fontId="0" fillId="10" borderId="2" xfId="0" applyNumberFormat="1" applyFill="1" applyBorder="1" applyAlignment="1">
      <alignment horizontal="right" wrapText="1"/>
    </xf>
    <xf numFmtId="10" fontId="0" fillId="10" borderId="25" xfId="0" applyNumberFormat="1" applyFill="1" applyBorder="1" applyAlignment="1">
      <alignment horizontal="right" wrapText="1"/>
    </xf>
    <xf numFmtId="0" fontId="0" fillId="10" borderId="1" xfId="0" applyFill="1" applyBorder="1" applyAlignment="1">
      <alignment horizontal="left"/>
    </xf>
    <xf numFmtId="0" fontId="0" fillId="10" borderId="2" xfId="0" applyFill="1" applyBorder="1" applyAlignment="1">
      <alignment horizontal="left"/>
    </xf>
    <xf numFmtId="0" fontId="0" fillId="10" borderId="25" xfId="0" applyFill="1" applyBorder="1" applyAlignment="1">
      <alignment horizontal="left"/>
    </xf>
    <xf numFmtId="49" fontId="17" fillId="3" borderId="1" xfId="0" applyNumberFormat="1" applyFont="1" applyFill="1" applyBorder="1" applyAlignment="1">
      <alignment horizontal="center"/>
    </xf>
    <xf numFmtId="0" fontId="18" fillId="3" borderId="12" xfId="0" applyFont="1" applyFill="1" applyBorder="1" applyAlignment="1">
      <alignment horizontal="center" wrapText="1"/>
    </xf>
    <xf numFmtId="0" fontId="18" fillId="3" borderId="13" xfId="0" applyFont="1" applyFill="1" applyBorder="1" applyAlignment="1">
      <alignment horizontal="center"/>
    </xf>
    <xf numFmtId="0" fontId="18" fillId="3" borderId="4" xfId="0" applyFont="1" applyFill="1" applyBorder="1" applyAlignment="1">
      <alignment horizontal="center"/>
    </xf>
    <xf numFmtId="0" fontId="17" fillId="3" borderId="1" xfId="0" applyFont="1" applyFill="1" applyBorder="1" applyAlignment="1">
      <alignment horizontal="center"/>
    </xf>
    <xf numFmtId="0" fontId="0" fillId="8" borderId="2" xfId="0" applyFill="1" applyBorder="1" applyAlignment="1">
      <alignment horizontal="center" vertical="center" wrapText="1"/>
    </xf>
    <xf numFmtId="0" fontId="0" fillId="8" borderId="27" xfId="0" applyFill="1" applyBorder="1" applyAlignment="1">
      <alignment horizontal="center" vertical="center" wrapText="1"/>
    </xf>
    <xf numFmtId="0" fontId="0" fillId="8" borderId="25" xfId="0" applyFill="1" applyBorder="1" applyAlignment="1">
      <alignment horizontal="center" vertical="center" wrapText="1"/>
    </xf>
    <xf numFmtId="0" fontId="0" fillId="2" borderId="1" xfId="0" applyFill="1" applyBorder="1" applyAlignment="1">
      <alignment horizontal="center"/>
    </xf>
    <xf numFmtId="0" fontId="17" fillId="4" borderId="12" xfId="0" applyFont="1" applyFill="1" applyBorder="1" applyAlignment="1">
      <alignment horizontal="center"/>
    </xf>
    <xf numFmtId="0" fontId="17" fillId="4" borderId="13" xfId="0" applyFont="1" applyFill="1" applyBorder="1" applyAlignment="1">
      <alignment horizontal="center"/>
    </xf>
    <xf numFmtId="0" fontId="17" fillId="4" borderId="4" xfId="0" applyFont="1" applyFill="1" applyBorder="1" applyAlignment="1">
      <alignment horizontal="center"/>
    </xf>
    <xf numFmtId="0" fontId="1" fillId="11" borderId="2" xfId="0" applyFont="1" applyFill="1" applyBorder="1" applyAlignment="1">
      <alignment horizontal="center" vertical="center"/>
    </xf>
    <xf numFmtId="0" fontId="1" fillId="11" borderId="27" xfId="0" applyFont="1" applyFill="1" applyBorder="1" applyAlignment="1">
      <alignment horizontal="center" vertical="center"/>
    </xf>
    <xf numFmtId="0" fontId="1" fillId="11" borderId="12" xfId="0" applyFont="1" applyFill="1" applyBorder="1" applyAlignment="1">
      <alignment horizontal="center"/>
    </xf>
    <xf numFmtId="0" fontId="1" fillId="11" borderId="13" xfId="0" applyFont="1" applyFill="1" applyBorder="1" applyAlignment="1">
      <alignment horizontal="center"/>
    </xf>
    <xf numFmtId="0" fontId="1" fillId="11" borderId="4" xfId="0" applyFont="1" applyFill="1" applyBorder="1" applyAlignment="1">
      <alignment horizontal="center"/>
    </xf>
    <xf numFmtId="0" fontId="1" fillId="11" borderId="65" xfId="0" applyFont="1" applyFill="1" applyBorder="1" applyAlignment="1">
      <alignment horizontal="left" wrapText="1"/>
    </xf>
    <xf numFmtId="0" fontId="1" fillId="11" borderId="55" xfId="0" applyFont="1" applyFill="1" applyBorder="1" applyAlignment="1">
      <alignment horizontal="left" wrapText="1"/>
    </xf>
    <xf numFmtId="0" fontId="1" fillId="11" borderId="60" xfId="0" applyFont="1" applyFill="1" applyBorder="1" applyAlignment="1">
      <alignment horizontal="left" wrapText="1"/>
    </xf>
    <xf numFmtId="0" fontId="1" fillId="11" borderId="59" xfId="0" applyFont="1" applyFill="1" applyBorder="1" applyAlignment="1">
      <alignment horizontal="left" wrapText="1"/>
    </xf>
    <xf numFmtId="0" fontId="1" fillId="11" borderId="66" xfId="0" applyFont="1" applyFill="1" applyBorder="1" applyAlignment="1">
      <alignment horizontal="left" wrapText="1"/>
    </xf>
    <xf numFmtId="0" fontId="1" fillId="11" borderId="67" xfId="0" applyFont="1" applyFill="1" applyBorder="1" applyAlignment="1">
      <alignment horizontal="left" wrapText="1"/>
    </xf>
    <xf numFmtId="0" fontId="1" fillId="11" borderId="44" xfId="0" applyFont="1" applyFill="1" applyBorder="1" applyAlignment="1">
      <alignment horizontal="right" vertical="center" wrapText="1"/>
    </xf>
    <xf numFmtId="0" fontId="1" fillId="11" borderId="45" xfId="0" applyFont="1" applyFill="1" applyBorder="1" applyAlignment="1">
      <alignment horizontal="right" vertical="center" wrapText="1"/>
    </xf>
    <xf numFmtId="0" fontId="1" fillId="11" borderId="46" xfId="0" applyFont="1" applyFill="1" applyBorder="1" applyAlignment="1">
      <alignment horizontal="right" vertical="center" wrapText="1"/>
    </xf>
    <xf numFmtId="0" fontId="1" fillId="11" borderId="44" xfId="0" applyFont="1" applyFill="1" applyBorder="1" applyAlignment="1">
      <alignment horizontal="center" vertical="center"/>
    </xf>
    <xf numFmtId="0" fontId="1" fillId="11" borderId="45" xfId="0" applyFont="1" applyFill="1" applyBorder="1" applyAlignment="1">
      <alignment horizontal="center" vertical="center"/>
    </xf>
    <xf numFmtId="0" fontId="1" fillId="11" borderId="57" xfId="0" applyFont="1" applyFill="1" applyBorder="1" applyAlignment="1">
      <alignment horizontal="center" vertical="center"/>
    </xf>
    <xf numFmtId="0" fontId="1" fillId="11" borderId="46" xfId="0" applyFont="1" applyFill="1" applyBorder="1" applyAlignment="1">
      <alignment horizontal="center" vertical="center"/>
    </xf>
    <xf numFmtId="0" fontId="21" fillId="11" borderId="30" xfId="0" applyFont="1" applyFill="1" applyBorder="1" applyAlignment="1">
      <alignment horizontal="left" vertical="center" wrapText="1"/>
    </xf>
    <xf numFmtId="0" fontId="2" fillId="11" borderId="61" xfId="0" applyFont="1" applyFill="1" applyBorder="1" applyAlignment="1">
      <alignment horizontal="center"/>
    </xf>
    <xf numFmtId="0" fontId="2" fillId="11" borderId="62" xfId="0" applyFont="1" applyFill="1" applyBorder="1" applyAlignment="1">
      <alignment horizontal="center"/>
    </xf>
    <xf numFmtId="0" fontId="2" fillId="11" borderId="63" xfId="0" applyFont="1" applyFill="1" applyBorder="1" applyAlignment="1">
      <alignment horizontal="center"/>
    </xf>
  </cellXfs>
  <cellStyles count="2">
    <cellStyle name="Normal" xfId="0" builtinId="0"/>
    <cellStyle name="Percent" xfId="1" builtinId="5"/>
  </cellStyles>
  <dxfs count="0"/>
  <tableStyles count="0" defaultTableStyle="TableStyleMedium9" defaultPivotStyle="PivotStyleLight16"/>
  <colors>
    <mruColors>
      <color rgb="FFD488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dLbls>
            <c:dLbl>
              <c:idx val="1"/>
              <c:layout>
                <c:manualLayout>
                  <c:x val="-3.1297711554047277E-3"/>
                  <c:y val="2.240781203374503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E37-4E68-B84B-9AFCB70CAA96}"/>
                </c:ext>
              </c:extLst>
            </c:dLbl>
            <c:dLbl>
              <c:idx val="2"/>
              <c:layout>
                <c:manualLayout>
                  <c:x val="0"/>
                  <c:y val="-2.240781203374503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E37-4E68-B84B-9AFCB70CAA96}"/>
                </c:ext>
              </c:extLst>
            </c:dLbl>
            <c:dLbl>
              <c:idx val="3"/>
              <c:layout>
                <c:manualLayout>
                  <c:x val="0"/>
                  <c:y val="-3.081074154639925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E37-4E68-B84B-9AFCB70CAA96}"/>
                </c:ext>
              </c:extLst>
            </c:dLbl>
            <c:dLbl>
              <c:idx val="4"/>
              <c:layout>
                <c:manualLayout>
                  <c:x val="0"/>
                  <c:y val="-1.400488252109055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E37-4E68-B84B-9AFCB70CAA96}"/>
                </c:ext>
              </c:extLst>
            </c:dLbl>
            <c:dLbl>
              <c:idx val="5"/>
              <c:layout>
                <c:manualLayout>
                  <c:x val="0"/>
                  <c:y val="-1.68058590253087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E37-4E68-B84B-9AFCB70CAA96}"/>
                </c:ext>
              </c:extLst>
            </c:dLbl>
            <c:spPr>
              <a:noFill/>
              <a:ln>
                <a:noFill/>
              </a:ln>
              <a:effectLst/>
            </c:spPr>
            <c:txPr>
              <a:bodyPr/>
              <a:lstStyle/>
              <a:p>
                <a:pPr>
                  <a:defRPr lang="en-IN"/>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Results!$D$4:$D$10</c:f>
              <c:strCache>
                <c:ptCount val="7"/>
                <c:pt idx="0">
                  <c:v>Emissions in Business As Usual Scenario (year 2030)</c:v>
                </c:pt>
                <c:pt idx="1">
                  <c:v>Emissions in CMP As Is Scenario (Ignoring Induction &amp; Rebound Effect, including construction emissions)</c:v>
                </c:pt>
                <c:pt idx="2">
                  <c:v>Emissions in CMP Modified Assumption Scenario (including induction and rebound effect and construction emissions)</c:v>
                </c:pt>
                <c:pt idx="3">
                  <c:v>CMP Additional Measures - Demand elimination &amp; Modal Shift Measures-Implementation based on Assumption Sheet (including construction and induction impact)</c:v>
                </c:pt>
                <c:pt idx="4">
                  <c:v>CMP Additional Measures - Additional Load Factor enhancement measures</c:v>
                </c:pt>
                <c:pt idx="5">
                  <c:v>CMP Additional Measures  - Additional green measures (Use of Low carbon fuels, eco-driving &amp; 20% renewable power for Metro)</c:v>
                </c:pt>
                <c:pt idx="6">
                  <c:v>CMP AM - Additional green measures (10% electric Vehicles penetration)</c:v>
                </c:pt>
              </c:strCache>
            </c:strRef>
          </c:cat>
          <c:val>
            <c:numRef>
              <c:f>Results!$E$4:$E$10</c:f>
              <c:numCache>
                <c:formatCode>0</c:formatCode>
                <c:ptCount val="7"/>
                <c:pt idx="0">
                  <c:v>1484434.1485442054</c:v>
                </c:pt>
                <c:pt idx="1">
                  <c:v>1128143.0601279065</c:v>
                </c:pt>
                <c:pt idx="2">
                  <c:v>1365553.2197920044</c:v>
                </c:pt>
                <c:pt idx="3">
                  <c:v>1093203.5646424456</c:v>
                </c:pt>
                <c:pt idx="4">
                  <c:v>1070945.5270122946</c:v>
                </c:pt>
                <c:pt idx="5">
                  <c:v>921130.91877459316</c:v>
                </c:pt>
                <c:pt idx="6">
                  <c:v>913969.17592284863</c:v>
                </c:pt>
              </c:numCache>
            </c:numRef>
          </c:val>
          <c:smooth val="0"/>
          <c:extLst>
            <c:ext xmlns:c16="http://schemas.microsoft.com/office/drawing/2014/chart" uri="{C3380CC4-5D6E-409C-BE32-E72D297353CC}">
              <c16:uniqueId val="{00000005-3E37-4E68-B84B-9AFCB70CAA96}"/>
            </c:ext>
          </c:extLst>
        </c:ser>
        <c:dLbls>
          <c:showLegendKey val="0"/>
          <c:showVal val="0"/>
          <c:showCatName val="0"/>
          <c:showSerName val="0"/>
          <c:showPercent val="0"/>
          <c:showBubbleSize val="0"/>
        </c:dLbls>
        <c:marker val="1"/>
        <c:smooth val="0"/>
        <c:axId val="100296576"/>
        <c:axId val="100298112"/>
      </c:lineChart>
      <c:catAx>
        <c:axId val="100296576"/>
        <c:scaling>
          <c:orientation val="minMax"/>
        </c:scaling>
        <c:delete val="0"/>
        <c:axPos val="b"/>
        <c:numFmt formatCode="General" sourceLinked="0"/>
        <c:majorTickMark val="out"/>
        <c:minorTickMark val="none"/>
        <c:tickLblPos val="nextTo"/>
        <c:txPr>
          <a:bodyPr/>
          <a:lstStyle/>
          <a:p>
            <a:pPr>
              <a:defRPr lang="en-IN"/>
            </a:pPr>
            <a:endParaRPr lang="en-US"/>
          </a:p>
        </c:txPr>
        <c:crossAx val="100298112"/>
        <c:crosses val="autoZero"/>
        <c:auto val="1"/>
        <c:lblAlgn val="ctr"/>
        <c:lblOffset val="100"/>
        <c:noMultiLvlLbl val="0"/>
      </c:catAx>
      <c:valAx>
        <c:axId val="100298112"/>
        <c:scaling>
          <c:orientation val="minMax"/>
        </c:scaling>
        <c:delete val="0"/>
        <c:axPos val="l"/>
        <c:majorGridlines/>
        <c:numFmt formatCode="0" sourceLinked="1"/>
        <c:majorTickMark val="out"/>
        <c:minorTickMark val="none"/>
        <c:tickLblPos val="nextTo"/>
        <c:txPr>
          <a:bodyPr/>
          <a:lstStyle/>
          <a:p>
            <a:pPr>
              <a:defRPr lang="en-IN"/>
            </a:pPr>
            <a:endParaRPr lang="en-US"/>
          </a:p>
        </c:txPr>
        <c:crossAx val="100296576"/>
        <c:crosses val="autoZero"/>
        <c:crossBetween val="between"/>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7</xdr:col>
      <xdr:colOff>57151</xdr:colOff>
      <xdr:row>13</xdr:row>
      <xdr:rowOff>142875</xdr:rowOff>
    </xdr:from>
    <xdr:to>
      <xdr:col>9</xdr:col>
      <xdr:colOff>438151</xdr:colOff>
      <xdr:row>17</xdr:row>
      <xdr:rowOff>0</xdr:rowOff>
    </xdr:to>
    <xdr:pic>
      <xdr:nvPicPr>
        <xdr:cNvPr id="2" name="Picture 1" descr="Shakti Logo Artwork 14Mar (2).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rcRect l="3228" r="8605"/>
        <a:stretch>
          <a:fillRect/>
        </a:stretch>
      </xdr:blipFill>
      <xdr:spPr>
        <a:xfrm>
          <a:off x="4324351" y="3324225"/>
          <a:ext cx="1600200" cy="619125"/>
        </a:xfrm>
        <a:prstGeom prst="rect">
          <a:avLst/>
        </a:prstGeom>
      </xdr:spPr>
    </xdr:pic>
    <xdr:clientData/>
  </xdr:twoCellAnchor>
  <xdr:twoCellAnchor editAs="oneCell">
    <xdr:from>
      <xdr:col>2</xdr:col>
      <xdr:colOff>180976</xdr:colOff>
      <xdr:row>7</xdr:row>
      <xdr:rowOff>85725</xdr:rowOff>
    </xdr:from>
    <xdr:to>
      <xdr:col>4</xdr:col>
      <xdr:colOff>161926</xdr:colOff>
      <xdr:row>10</xdr:row>
      <xdr:rowOff>164500</xdr:rowOff>
    </xdr:to>
    <xdr:pic>
      <xdr:nvPicPr>
        <xdr:cNvPr id="4" name="Picture 3" descr="Final-logo-EVI.png">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1400176" y="2076450"/>
          <a:ext cx="1200150" cy="697900"/>
        </a:xfrm>
        <a:prstGeom prst="rect">
          <a:avLst/>
        </a:prstGeom>
        <a:noFill/>
        <a:ln w="9525">
          <a:noFill/>
          <a:miter lim="800000"/>
          <a:headEnd/>
          <a:tailEnd/>
        </a:ln>
      </xdr:spPr>
    </xdr:pic>
    <xdr:clientData/>
  </xdr:twoCellAnchor>
  <xdr:twoCellAnchor editAs="oneCell">
    <xdr:from>
      <xdr:col>13</xdr:col>
      <xdr:colOff>19049</xdr:colOff>
      <xdr:row>7</xdr:row>
      <xdr:rowOff>76200</xdr:rowOff>
    </xdr:from>
    <xdr:to>
      <xdr:col>14</xdr:col>
      <xdr:colOff>295274</xdr:colOff>
      <xdr:row>10</xdr:row>
      <xdr:rowOff>38101</xdr:rowOff>
    </xdr:to>
    <xdr:pic>
      <xdr:nvPicPr>
        <xdr:cNvPr id="5" name="Picture 4" descr="logo">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3" cstate="print"/>
        <a:srcRect/>
        <a:stretch>
          <a:fillRect/>
        </a:stretch>
      </xdr:blipFill>
      <xdr:spPr bwMode="auto">
        <a:xfrm>
          <a:off x="7943849" y="2066925"/>
          <a:ext cx="885825" cy="581026"/>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441403</xdr:colOff>
      <xdr:row>12</xdr:row>
      <xdr:rowOff>19282</xdr:rowOff>
    </xdr:from>
    <xdr:to>
      <xdr:col>6</xdr:col>
      <xdr:colOff>511097</xdr:colOff>
      <xdr:row>36</xdr:row>
      <xdr:rowOff>92927</xdr:rowOff>
    </xdr:to>
    <xdr:graphicFrame macro="">
      <xdr:nvGraphicFramePr>
        <xdr:cNvPr id="3" name="Chart 2">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7283140</xdr:colOff>
      <xdr:row>13</xdr:row>
      <xdr:rowOff>23232</xdr:rowOff>
    </xdr:from>
    <xdr:to>
      <xdr:col>4</xdr:col>
      <xdr:colOff>813110</xdr:colOff>
      <xdr:row>14</xdr:row>
      <xdr:rowOff>127774</xdr:rowOff>
    </xdr:to>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8781585" y="3438293"/>
          <a:ext cx="2311555" cy="2903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IN" sz="1200" b="1"/>
            <a:t>Emissions in tonnes of CO2</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323850</xdr:colOff>
      <xdr:row>15</xdr:row>
      <xdr:rowOff>38100</xdr:rowOff>
    </xdr:from>
    <xdr:to>
      <xdr:col>3</xdr:col>
      <xdr:colOff>2232660</xdr:colOff>
      <xdr:row>31</xdr:row>
      <xdr:rowOff>39370</xdr:rowOff>
    </xdr:to>
    <xdr:grpSp>
      <xdr:nvGrpSpPr>
        <xdr:cNvPr id="15" name="Group 14">
          <a:extLst>
            <a:ext uri="{FF2B5EF4-FFF2-40B4-BE49-F238E27FC236}">
              <a16:creationId xmlns:a16="http://schemas.microsoft.com/office/drawing/2014/main" id="{00000000-0008-0000-0800-00000F000000}"/>
            </a:ext>
          </a:extLst>
        </xdr:cNvPr>
        <xdr:cNvGrpSpPr/>
      </xdr:nvGrpSpPr>
      <xdr:grpSpPr>
        <a:xfrm>
          <a:off x="933450" y="2943225"/>
          <a:ext cx="4337685" cy="3858895"/>
          <a:chOff x="3457575" y="2286000"/>
          <a:chExt cx="4337685" cy="3858895"/>
        </a:xfrm>
      </xdr:grpSpPr>
      <xdr:pic>
        <xdr:nvPicPr>
          <xdr:cNvPr id="13" name="Picture 12">
            <a:extLst>
              <a:ext uri="{FF2B5EF4-FFF2-40B4-BE49-F238E27FC236}">
                <a16:creationId xmlns:a16="http://schemas.microsoft.com/office/drawing/2014/main" id="{00000000-0008-0000-0800-00000D000000}"/>
              </a:ext>
            </a:extLst>
          </xdr:cNvPr>
          <xdr:cNvPicPr/>
        </xdr:nvPicPr>
        <xdr:blipFill>
          <a:blip xmlns:r="http://schemas.openxmlformats.org/officeDocument/2006/relationships" r:embed="rId1" cstate="print"/>
          <a:srcRect l="2500" t="4031" r="3269" b="12348"/>
          <a:stretch>
            <a:fillRect/>
          </a:stretch>
        </xdr:blipFill>
        <xdr:spPr bwMode="auto">
          <a:xfrm>
            <a:off x="3457575" y="2286000"/>
            <a:ext cx="4337685" cy="3858895"/>
          </a:xfrm>
          <a:prstGeom prst="rect">
            <a:avLst/>
          </a:prstGeom>
          <a:noFill/>
          <a:ln w="9525">
            <a:noFill/>
            <a:miter lim="800000"/>
            <a:headEnd/>
            <a:tailEnd/>
          </a:ln>
        </xdr:spPr>
      </xdr:pic>
      <xdr:grpSp>
        <xdr:nvGrpSpPr>
          <xdr:cNvPr id="7169" name="Group 1">
            <a:extLst>
              <a:ext uri="{FF2B5EF4-FFF2-40B4-BE49-F238E27FC236}">
                <a16:creationId xmlns:a16="http://schemas.microsoft.com/office/drawing/2014/main" id="{00000000-0008-0000-0800-0000011C0000}"/>
              </a:ext>
            </a:extLst>
          </xdr:cNvPr>
          <xdr:cNvGrpSpPr>
            <a:grpSpLocks/>
          </xdr:cNvGrpSpPr>
        </xdr:nvGrpSpPr>
        <xdr:grpSpPr bwMode="auto">
          <a:xfrm>
            <a:off x="3743325" y="2352675"/>
            <a:ext cx="4010025" cy="3381375"/>
            <a:chOff x="3439" y="4051"/>
            <a:chExt cx="6316" cy="5336"/>
          </a:xfrm>
        </xdr:grpSpPr>
        <xdr:grpSp>
          <xdr:nvGrpSpPr>
            <xdr:cNvPr id="7170" name="Group 2">
              <a:extLst>
                <a:ext uri="{FF2B5EF4-FFF2-40B4-BE49-F238E27FC236}">
                  <a16:creationId xmlns:a16="http://schemas.microsoft.com/office/drawing/2014/main" id="{00000000-0008-0000-0800-0000021C0000}"/>
                </a:ext>
              </a:extLst>
            </xdr:cNvPr>
            <xdr:cNvGrpSpPr>
              <a:grpSpLocks/>
            </xdr:cNvGrpSpPr>
          </xdr:nvGrpSpPr>
          <xdr:grpSpPr bwMode="auto">
            <a:xfrm>
              <a:off x="3439" y="4051"/>
              <a:ext cx="6316" cy="5336"/>
              <a:chOff x="3439" y="1100"/>
              <a:chExt cx="6316" cy="5336"/>
            </a:xfrm>
          </xdr:grpSpPr>
          <xdr:cxnSp macro="">
            <xdr:nvCxnSpPr>
              <xdr:cNvPr id="7171" name="AutoShape 3">
                <a:extLst>
                  <a:ext uri="{FF2B5EF4-FFF2-40B4-BE49-F238E27FC236}">
                    <a16:creationId xmlns:a16="http://schemas.microsoft.com/office/drawing/2014/main" id="{00000000-0008-0000-0800-0000031C0000}"/>
                  </a:ext>
                </a:extLst>
              </xdr:cNvPr>
              <xdr:cNvCxnSpPr>
                <a:cxnSpLocks noChangeShapeType="1"/>
              </xdr:cNvCxnSpPr>
            </xdr:nvCxnSpPr>
            <xdr:spPr bwMode="auto">
              <a:xfrm flipV="1">
                <a:off x="8972" y="1140"/>
                <a:ext cx="0" cy="5296"/>
              </a:xfrm>
              <a:prstGeom prst="straightConnector1">
                <a:avLst/>
              </a:prstGeom>
              <a:noFill/>
              <a:ln w="9525">
                <a:solidFill>
                  <a:srgbClr val="FF0000"/>
                </a:solidFill>
                <a:round/>
                <a:headEnd/>
                <a:tailEnd/>
              </a:ln>
            </xdr:spPr>
          </xdr:cxnSp>
          <xdr:cxnSp macro="">
            <xdr:nvCxnSpPr>
              <xdr:cNvPr id="7172" name="AutoShape 4">
                <a:extLst>
                  <a:ext uri="{FF2B5EF4-FFF2-40B4-BE49-F238E27FC236}">
                    <a16:creationId xmlns:a16="http://schemas.microsoft.com/office/drawing/2014/main" id="{00000000-0008-0000-0800-0000041C0000}"/>
                  </a:ext>
                </a:extLst>
              </xdr:cNvPr>
              <xdr:cNvCxnSpPr>
                <a:cxnSpLocks noChangeShapeType="1"/>
              </xdr:cNvCxnSpPr>
            </xdr:nvCxnSpPr>
            <xdr:spPr bwMode="auto">
              <a:xfrm flipH="1" flipV="1">
                <a:off x="3561" y="3842"/>
                <a:ext cx="6075" cy="98"/>
              </a:xfrm>
              <a:prstGeom prst="straightConnector1">
                <a:avLst/>
              </a:prstGeom>
              <a:noFill/>
              <a:ln w="9525">
                <a:solidFill>
                  <a:srgbClr val="FF0000"/>
                </a:solidFill>
                <a:round/>
                <a:headEnd/>
                <a:tailEnd/>
              </a:ln>
            </xdr:spPr>
          </xdr:cxnSp>
          <xdr:cxnSp macro="">
            <xdr:nvCxnSpPr>
              <xdr:cNvPr id="7173" name="AutoShape 5">
                <a:extLst>
                  <a:ext uri="{FF2B5EF4-FFF2-40B4-BE49-F238E27FC236}">
                    <a16:creationId xmlns:a16="http://schemas.microsoft.com/office/drawing/2014/main" id="{00000000-0008-0000-0800-0000051C0000}"/>
                  </a:ext>
                </a:extLst>
              </xdr:cNvPr>
              <xdr:cNvCxnSpPr>
                <a:cxnSpLocks noChangeShapeType="1"/>
              </xdr:cNvCxnSpPr>
            </xdr:nvCxnSpPr>
            <xdr:spPr bwMode="auto">
              <a:xfrm flipV="1">
                <a:off x="8710" y="1121"/>
                <a:ext cx="0" cy="5296"/>
              </a:xfrm>
              <a:prstGeom prst="straightConnector1">
                <a:avLst/>
              </a:prstGeom>
              <a:noFill/>
              <a:ln w="9525">
                <a:solidFill>
                  <a:srgbClr val="FF0000"/>
                </a:solidFill>
                <a:round/>
                <a:headEnd/>
                <a:tailEnd/>
              </a:ln>
            </xdr:spPr>
          </xdr:cxnSp>
          <xdr:cxnSp macro="">
            <xdr:nvCxnSpPr>
              <xdr:cNvPr id="7174" name="AutoShape 6">
                <a:extLst>
                  <a:ext uri="{FF2B5EF4-FFF2-40B4-BE49-F238E27FC236}">
                    <a16:creationId xmlns:a16="http://schemas.microsoft.com/office/drawing/2014/main" id="{00000000-0008-0000-0800-0000061C0000}"/>
                  </a:ext>
                </a:extLst>
              </xdr:cNvPr>
              <xdr:cNvCxnSpPr>
                <a:cxnSpLocks noChangeShapeType="1"/>
              </xdr:cNvCxnSpPr>
            </xdr:nvCxnSpPr>
            <xdr:spPr bwMode="auto">
              <a:xfrm flipH="1">
                <a:off x="3439" y="3565"/>
                <a:ext cx="6216" cy="37"/>
              </a:xfrm>
              <a:prstGeom prst="straightConnector1">
                <a:avLst/>
              </a:prstGeom>
              <a:noFill/>
              <a:ln w="9525">
                <a:solidFill>
                  <a:srgbClr val="FF0000"/>
                </a:solidFill>
                <a:round/>
                <a:headEnd/>
                <a:tailEnd/>
              </a:ln>
            </xdr:spPr>
          </xdr:cxnSp>
          <xdr:cxnSp macro="">
            <xdr:nvCxnSpPr>
              <xdr:cNvPr id="7175" name="AutoShape 7">
                <a:extLst>
                  <a:ext uri="{FF2B5EF4-FFF2-40B4-BE49-F238E27FC236}">
                    <a16:creationId xmlns:a16="http://schemas.microsoft.com/office/drawing/2014/main" id="{00000000-0008-0000-0800-0000071C0000}"/>
                  </a:ext>
                </a:extLst>
              </xdr:cNvPr>
              <xdr:cNvCxnSpPr>
                <a:cxnSpLocks noChangeShapeType="1"/>
              </xdr:cNvCxnSpPr>
            </xdr:nvCxnSpPr>
            <xdr:spPr bwMode="auto">
              <a:xfrm flipV="1">
                <a:off x="8646" y="1133"/>
                <a:ext cx="0" cy="5296"/>
              </a:xfrm>
              <a:prstGeom prst="straightConnector1">
                <a:avLst/>
              </a:prstGeom>
              <a:noFill/>
              <a:ln w="9525">
                <a:solidFill>
                  <a:srgbClr val="FF0000"/>
                </a:solidFill>
                <a:round/>
                <a:headEnd/>
                <a:tailEnd/>
              </a:ln>
            </xdr:spPr>
          </xdr:cxnSp>
          <xdr:cxnSp macro="">
            <xdr:nvCxnSpPr>
              <xdr:cNvPr id="7176" name="AutoShape 8">
                <a:extLst>
                  <a:ext uri="{FF2B5EF4-FFF2-40B4-BE49-F238E27FC236}">
                    <a16:creationId xmlns:a16="http://schemas.microsoft.com/office/drawing/2014/main" id="{00000000-0008-0000-0800-0000081C0000}"/>
                  </a:ext>
                </a:extLst>
              </xdr:cNvPr>
              <xdr:cNvCxnSpPr>
                <a:cxnSpLocks noChangeShapeType="1"/>
              </xdr:cNvCxnSpPr>
            </xdr:nvCxnSpPr>
            <xdr:spPr bwMode="auto">
              <a:xfrm flipH="1">
                <a:off x="3489" y="3197"/>
                <a:ext cx="6216" cy="37"/>
              </a:xfrm>
              <a:prstGeom prst="straightConnector1">
                <a:avLst/>
              </a:prstGeom>
              <a:noFill/>
              <a:ln w="9525">
                <a:solidFill>
                  <a:srgbClr val="FF0000"/>
                </a:solidFill>
                <a:round/>
                <a:headEnd/>
                <a:tailEnd/>
              </a:ln>
            </xdr:spPr>
          </xdr:cxnSp>
          <xdr:cxnSp macro="">
            <xdr:nvCxnSpPr>
              <xdr:cNvPr id="7177" name="AutoShape 9">
                <a:extLst>
                  <a:ext uri="{FF2B5EF4-FFF2-40B4-BE49-F238E27FC236}">
                    <a16:creationId xmlns:a16="http://schemas.microsoft.com/office/drawing/2014/main" id="{00000000-0008-0000-0800-0000091C0000}"/>
                  </a:ext>
                </a:extLst>
              </xdr:cNvPr>
              <xdr:cNvCxnSpPr>
                <a:cxnSpLocks noChangeShapeType="1"/>
              </xdr:cNvCxnSpPr>
            </xdr:nvCxnSpPr>
            <xdr:spPr bwMode="auto">
              <a:xfrm flipH="1">
                <a:off x="3539" y="2848"/>
                <a:ext cx="6216" cy="37"/>
              </a:xfrm>
              <a:prstGeom prst="straightConnector1">
                <a:avLst/>
              </a:prstGeom>
              <a:noFill/>
              <a:ln w="9525">
                <a:solidFill>
                  <a:srgbClr val="FF0000"/>
                </a:solidFill>
                <a:round/>
                <a:headEnd/>
                <a:tailEnd/>
              </a:ln>
            </xdr:spPr>
          </xdr:cxnSp>
          <xdr:cxnSp macro="">
            <xdr:nvCxnSpPr>
              <xdr:cNvPr id="7178" name="AutoShape 10">
                <a:extLst>
                  <a:ext uri="{FF2B5EF4-FFF2-40B4-BE49-F238E27FC236}">
                    <a16:creationId xmlns:a16="http://schemas.microsoft.com/office/drawing/2014/main" id="{00000000-0008-0000-0800-00000A1C0000}"/>
                  </a:ext>
                </a:extLst>
              </xdr:cNvPr>
              <xdr:cNvCxnSpPr>
                <a:cxnSpLocks noChangeShapeType="1"/>
              </xdr:cNvCxnSpPr>
            </xdr:nvCxnSpPr>
            <xdr:spPr bwMode="auto">
              <a:xfrm flipV="1">
                <a:off x="8138" y="1100"/>
                <a:ext cx="0" cy="5296"/>
              </a:xfrm>
              <a:prstGeom prst="straightConnector1">
                <a:avLst/>
              </a:prstGeom>
              <a:noFill/>
              <a:ln w="9525">
                <a:solidFill>
                  <a:srgbClr val="FF0000"/>
                </a:solidFill>
                <a:round/>
                <a:headEnd/>
                <a:tailEnd/>
              </a:ln>
            </xdr:spPr>
          </xdr:cxnSp>
        </xdr:grpSp>
        <xdr:sp macro="" textlink="">
          <xdr:nvSpPr>
            <xdr:cNvPr id="7179" name="Rectangle 11">
              <a:extLst>
                <a:ext uri="{FF2B5EF4-FFF2-40B4-BE49-F238E27FC236}">
                  <a16:creationId xmlns:a16="http://schemas.microsoft.com/office/drawing/2014/main" id="{00000000-0008-0000-0800-00000B1C0000}"/>
                </a:ext>
              </a:extLst>
            </xdr:cNvPr>
            <xdr:cNvSpPr>
              <a:spLocks noChangeArrowheads="1"/>
            </xdr:cNvSpPr>
          </xdr:nvSpPr>
          <xdr:spPr bwMode="auto">
            <a:xfrm>
              <a:off x="7134" y="4072"/>
              <a:ext cx="2483" cy="5296"/>
            </a:xfrm>
            <a:prstGeom prst="rect">
              <a:avLst/>
            </a:prstGeom>
            <a:solidFill>
              <a:srgbClr val="FFC000">
                <a:alpha val="25999"/>
              </a:srgbClr>
            </a:solidFill>
            <a:ln w="9525">
              <a:noFill/>
              <a:miter lim="800000"/>
              <a:headEnd/>
              <a:tailEnd/>
            </a:ln>
          </xdr:spPr>
        </xdr:sp>
      </xdr:grpSp>
    </xdr:grpSp>
    <xdr:clientData/>
  </xdr:twoCellAnchor>
  <xdr:twoCellAnchor>
    <xdr:from>
      <xdr:col>7</xdr:col>
      <xdr:colOff>314325</xdr:colOff>
      <xdr:row>16</xdr:row>
      <xdr:rowOff>180975</xdr:rowOff>
    </xdr:from>
    <xdr:to>
      <xdr:col>7</xdr:col>
      <xdr:colOff>419100</xdr:colOff>
      <xdr:row>17</xdr:row>
      <xdr:rowOff>114300</xdr:rowOff>
    </xdr:to>
    <xdr:sp macro="" textlink="">
      <xdr:nvSpPr>
        <xdr:cNvPr id="23" name="Oval 22">
          <a:extLst>
            <a:ext uri="{FF2B5EF4-FFF2-40B4-BE49-F238E27FC236}">
              <a16:creationId xmlns:a16="http://schemas.microsoft.com/office/drawing/2014/main" id="{00000000-0008-0000-0800-000017000000}"/>
            </a:ext>
          </a:extLst>
        </xdr:cNvPr>
        <xdr:cNvSpPr/>
      </xdr:nvSpPr>
      <xdr:spPr>
        <a:xfrm>
          <a:off x="8582025" y="3276600"/>
          <a:ext cx="104775" cy="123825"/>
        </a:xfrm>
        <a:prstGeom prst="ellipse">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IN" sz="1100"/>
        </a:p>
      </xdr:txBody>
    </xdr:sp>
    <xdr:clientData/>
  </xdr:twoCellAnchor>
  <xdr:twoCellAnchor>
    <xdr:from>
      <xdr:col>5</xdr:col>
      <xdr:colOff>790575</xdr:colOff>
      <xdr:row>13</xdr:row>
      <xdr:rowOff>142876</xdr:rowOff>
    </xdr:from>
    <xdr:to>
      <xdr:col>12</xdr:col>
      <xdr:colOff>607798</xdr:colOff>
      <xdr:row>25</xdr:row>
      <xdr:rowOff>113785</xdr:rowOff>
    </xdr:to>
    <xdr:grpSp>
      <xdr:nvGrpSpPr>
        <xdr:cNvPr id="27" name="Group 26">
          <a:extLst>
            <a:ext uri="{FF2B5EF4-FFF2-40B4-BE49-F238E27FC236}">
              <a16:creationId xmlns:a16="http://schemas.microsoft.com/office/drawing/2014/main" id="{00000000-0008-0000-0800-00001B000000}"/>
            </a:ext>
          </a:extLst>
        </xdr:cNvPr>
        <xdr:cNvGrpSpPr/>
      </xdr:nvGrpSpPr>
      <xdr:grpSpPr>
        <a:xfrm>
          <a:off x="6505575" y="2667001"/>
          <a:ext cx="5417923" cy="3066534"/>
          <a:chOff x="7591425" y="2581276"/>
          <a:chExt cx="5417923" cy="3066534"/>
        </a:xfrm>
      </xdr:grpSpPr>
      <xdr:grpSp>
        <xdr:nvGrpSpPr>
          <xdr:cNvPr id="26" name="Group 25">
            <a:extLst>
              <a:ext uri="{FF2B5EF4-FFF2-40B4-BE49-F238E27FC236}">
                <a16:creationId xmlns:a16="http://schemas.microsoft.com/office/drawing/2014/main" id="{00000000-0008-0000-0800-00001A000000}"/>
              </a:ext>
            </a:extLst>
          </xdr:cNvPr>
          <xdr:cNvGrpSpPr/>
        </xdr:nvGrpSpPr>
        <xdr:grpSpPr>
          <a:xfrm>
            <a:off x="7591425" y="2581276"/>
            <a:ext cx="5417923" cy="3066534"/>
            <a:chOff x="6772275" y="2105026"/>
            <a:chExt cx="5417923" cy="3066534"/>
          </a:xfrm>
        </xdr:grpSpPr>
        <xdr:pic>
          <xdr:nvPicPr>
            <xdr:cNvPr id="14" name="Picture 13">
              <a:extLst>
                <a:ext uri="{FF2B5EF4-FFF2-40B4-BE49-F238E27FC236}">
                  <a16:creationId xmlns:a16="http://schemas.microsoft.com/office/drawing/2014/main" id="{00000000-0008-0000-0800-00000E000000}"/>
                </a:ext>
              </a:extLst>
            </xdr:cNvPr>
            <xdr:cNvPicPr/>
          </xdr:nvPicPr>
          <xdr:blipFill>
            <a:blip xmlns:r="http://schemas.openxmlformats.org/officeDocument/2006/relationships" r:embed="rId2" cstate="print">
              <a:lum contrast="30000"/>
            </a:blip>
            <a:srcRect/>
            <a:stretch>
              <a:fillRect/>
            </a:stretch>
          </xdr:blipFill>
          <xdr:spPr bwMode="auto">
            <a:xfrm>
              <a:off x="6772275" y="2181225"/>
              <a:ext cx="5417923" cy="2990335"/>
            </a:xfrm>
            <a:prstGeom prst="rect">
              <a:avLst/>
            </a:prstGeom>
            <a:noFill/>
            <a:ln w="9525">
              <a:noFill/>
              <a:miter lim="800000"/>
              <a:headEnd/>
              <a:tailEnd/>
            </a:ln>
          </xdr:spPr>
        </xdr:pic>
        <xdr:sp macro="" textlink="">
          <xdr:nvSpPr>
            <xdr:cNvPr id="22" name="TextBox 21">
              <a:extLst>
                <a:ext uri="{FF2B5EF4-FFF2-40B4-BE49-F238E27FC236}">
                  <a16:creationId xmlns:a16="http://schemas.microsoft.com/office/drawing/2014/main" id="{00000000-0008-0000-0800-000016000000}"/>
                </a:ext>
              </a:extLst>
            </xdr:cNvPr>
            <xdr:cNvSpPr txBox="1"/>
          </xdr:nvSpPr>
          <xdr:spPr>
            <a:xfrm>
              <a:off x="7924801" y="2105026"/>
              <a:ext cx="4210050" cy="8096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IN" sz="1100"/>
                <a:t>Long</a:t>
              </a:r>
              <a:r>
                <a:rPr lang="en-IN" sz="1100" baseline="0"/>
                <a:t> term (10 + years) in high demand scenario as observed in Indian cities the latent demand will be almost 90%. Over 4 years + in high demand scenario the latent demand will be over 70%</a:t>
              </a:r>
              <a:endParaRPr lang="en-IN" sz="1100"/>
            </a:p>
          </xdr:txBody>
        </xdr:sp>
        <xdr:cxnSp macro="">
          <xdr:nvCxnSpPr>
            <xdr:cNvPr id="17" name="Straight Connector 16">
              <a:extLst>
                <a:ext uri="{FF2B5EF4-FFF2-40B4-BE49-F238E27FC236}">
                  <a16:creationId xmlns:a16="http://schemas.microsoft.com/office/drawing/2014/main" id="{00000000-0008-0000-0800-000011000000}"/>
                </a:ext>
              </a:extLst>
            </xdr:cNvPr>
            <xdr:cNvCxnSpPr/>
          </xdr:nvCxnSpPr>
          <xdr:spPr>
            <a:xfrm rot="5400000" flipH="1" flipV="1">
              <a:off x="8053390" y="3690938"/>
              <a:ext cx="2124075" cy="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8" name="Straight Connector 17">
              <a:extLst>
                <a:ext uri="{FF2B5EF4-FFF2-40B4-BE49-F238E27FC236}">
                  <a16:creationId xmlns:a16="http://schemas.microsoft.com/office/drawing/2014/main" id="{00000000-0008-0000-0800-000012000000}"/>
                </a:ext>
              </a:extLst>
            </xdr:cNvPr>
            <xdr:cNvCxnSpPr/>
          </xdr:nvCxnSpPr>
          <xdr:spPr>
            <a:xfrm rot="5400000" flipH="1" flipV="1">
              <a:off x="7148515" y="3709988"/>
              <a:ext cx="2124075" cy="0"/>
            </a:xfrm>
            <a:prstGeom prst="line">
              <a:avLst/>
            </a:prstGeom>
          </xdr:spPr>
          <xdr:style>
            <a:lnRef idx="1">
              <a:schemeClr val="accent1"/>
            </a:lnRef>
            <a:fillRef idx="0">
              <a:schemeClr val="accent1"/>
            </a:fillRef>
            <a:effectRef idx="0">
              <a:schemeClr val="accent1"/>
            </a:effectRef>
            <a:fontRef idx="minor">
              <a:schemeClr val="tx1"/>
            </a:fontRef>
          </xdr:style>
        </xdr:cxnSp>
      </xdr:grpSp>
      <xdr:cxnSp macro="">
        <xdr:nvCxnSpPr>
          <xdr:cNvPr id="20" name="Straight Connector 19">
            <a:extLst>
              <a:ext uri="{FF2B5EF4-FFF2-40B4-BE49-F238E27FC236}">
                <a16:creationId xmlns:a16="http://schemas.microsoft.com/office/drawing/2014/main" id="{00000000-0008-0000-0800-000014000000}"/>
              </a:ext>
            </a:extLst>
          </xdr:cNvPr>
          <xdr:cNvCxnSpPr/>
        </xdr:nvCxnSpPr>
        <xdr:spPr>
          <a:xfrm rot="10800000">
            <a:off x="8286751" y="3267075"/>
            <a:ext cx="1933575" cy="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21" name="Straight Connector 20">
            <a:extLst>
              <a:ext uri="{FF2B5EF4-FFF2-40B4-BE49-F238E27FC236}">
                <a16:creationId xmlns:a16="http://schemas.microsoft.com/office/drawing/2014/main" id="{00000000-0008-0000-0800-000015000000}"/>
              </a:ext>
            </a:extLst>
          </xdr:cNvPr>
          <xdr:cNvCxnSpPr/>
        </xdr:nvCxnSpPr>
        <xdr:spPr>
          <a:xfrm rot="10800000">
            <a:off x="8267701" y="3714750"/>
            <a:ext cx="1781177" cy="0"/>
          </a:xfrm>
          <a:prstGeom prst="line">
            <a:avLst/>
          </a:prstGeom>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4:P19"/>
  <sheetViews>
    <sheetView tabSelected="1" topLeftCell="A4" workbookViewId="0">
      <selection activeCell="C18" sqref="C18"/>
    </sheetView>
  </sheetViews>
  <sheetFormatPr defaultRowHeight="15" x14ac:dyDescent="0.25"/>
  <cols>
    <col min="1" max="16384" width="9.140625" style="236"/>
  </cols>
  <sheetData>
    <row r="4" spans="1:16" ht="6.75" customHeight="1" x14ac:dyDescent="0.25"/>
    <row r="5" spans="1:16" ht="71.25" customHeight="1" x14ac:dyDescent="0.5">
      <c r="A5" s="244" t="s">
        <v>412</v>
      </c>
      <c r="B5" s="244"/>
      <c r="C5" s="244"/>
      <c r="D5" s="244"/>
      <c r="E5" s="244"/>
      <c r="F5" s="244"/>
      <c r="G5" s="244"/>
      <c r="H5" s="244"/>
      <c r="I5" s="244"/>
      <c r="J5" s="244"/>
      <c r="K5" s="244"/>
      <c r="L5" s="244"/>
      <c r="M5" s="244"/>
      <c r="N5" s="244"/>
      <c r="O5" s="244"/>
      <c r="P5" s="244"/>
    </row>
    <row r="6" spans="1:16" ht="15" customHeight="1" x14ac:dyDescent="0.5">
      <c r="A6" s="237"/>
      <c r="B6" s="237"/>
      <c r="C6" s="237"/>
      <c r="D6" s="237"/>
      <c r="E6" s="237"/>
      <c r="F6" s="237"/>
      <c r="G6" s="237"/>
      <c r="H6" s="237"/>
      <c r="I6" s="237"/>
      <c r="J6" s="237"/>
      <c r="K6" s="237"/>
      <c r="L6" s="237"/>
      <c r="M6" s="237"/>
      <c r="N6" s="237"/>
      <c r="O6" s="237"/>
      <c r="P6" s="237"/>
    </row>
    <row r="7" spans="1:16" ht="18.75" x14ac:dyDescent="0.3">
      <c r="B7" s="241" t="s">
        <v>409</v>
      </c>
      <c r="L7" s="241" t="s">
        <v>410</v>
      </c>
      <c r="M7" s="239"/>
      <c r="N7" s="239"/>
      <c r="O7" s="238"/>
    </row>
    <row r="8" spans="1:16" ht="18.75" x14ac:dyDescent="0.3">
      <c r="M8" s="239"/>
      <c r="N8" s="239"/>
      <c r="O8" s="238"/>
    </row>
    <row r="19" spans="5:13" ht="18.75" x14ac:dyDescent="0.3">
      <c r="E19" s="245" t="s">
        <v>411</v>
      </c>
      <c r="F19" s="245"/>
      <c r="G19" s="245"/>
      <c r="H19" s="245"/>
      <c r="I19" s="245"/>
      <c r="J19" s="245"/>
      <c r="K19" s="245"/>
      <c r="L19" s="245"/>
      <c r="M19" s="245"/>
    </row>
  </sheetData>
  <mergeCells count="2">
    <mergeCell ref="A5:P5"/>
    <mergeCell ref="E19:M19"/>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1:R38"/>
  <sheetViews>
    <sheetView topLeftCell="A7" workbookViewId="0">
      <selection activeCell="L39" sqref="L39"/>
    </sheetView>
  </sheetViews>
  <sheetFormatPr defaultRowHeight="15" x14ac:dyDescent="0.25"/>
  <cols>
    <col min="1" max="16384" width="9.140625" style="59"/>
  </cols>
  <sheetData>
    <row r="1" spans="2:18" s="225" customFormat="1" x14ac:dyDescent="0.25"/>
    <row r="2" spans="2:18" s="225" customFormat="1" ht="18.75" x14ac:dyDescent="0.3">
      <c r="E2" s="246" t="s">
        <v>389</v>
      </c>
      <c r="F2" s="247"/>
      <c r="G2" s="247"/>
      <c r="H2" s="247"/>
      <c r="I2" s="247"/>
      <c r="J2" s="247"/>
      <c r="K2" s="247"/>
      <c r="L2" s="247"/>
      <c r="M2" s="247"/>
      <c r="N2" s="248"/>
    </row>
    <row r="3" spans="2:18" s="225" customFormat="1" x14ac:dyDescent="0.25"/>
    <row r="4" spans="2:18" s="225" customFormat="1" x14ac:dyDescent="0.25">
      <c r="C4" s="249" t="s">
        <v>390</v>
      </c>
      <c r="D4" s="250"/>
      <c r="E4" s="250"/>
      <c r="F4" s="250"/>
      <c r="G4" s="250"/>
      <c r="H4" s="250"/>
      <c r="I4" s="250"/>
      <c r="J4" s="250"/>
      <c r="K4" s="250"/>
      <c r="L4" s="250"/>
      <c r="M4" s="250"/>
      <c r="N4" s="250"/>
      <c r="O4" s="250"/>
      <c r="P4" s="251"/>
    </row>
    <row r="5" spans="2:18" s="225" customFormat="1" x14ac:dyDescent="0.25">
      <c r="C5" s="252"/>
      <c r="D5" s="253"/>
      <c r="E5" s="253"/>
      <c r="F5" s="253"/>
      <c r="G5" s="253"/>
      <c r="H5" s="253"/>
      <c r="I5" s="253"/>
      <c r="J5" s="253"/>
      <c r="K5" s="253"/>
      <c r="L5" s="253"/>
      <c r="M5" s="253"/>
      <c r="N5" s="253"/>
      <c r="O5" s="253"/>
      <c r="P5" s="254"/>
    </row>
    <row r="6" spans="2:18" s="225" customFormat="1" x14ac:dyDescent="0.25"/>
    <row r="7" spans="2:18" s="225" customFormat="1" x14ac:dyDescent="0.25">
      <c r="B7" s="226">
        <v>1</v>
      </c>
      <c r="C7" s="255" t="s">
        <v>374</v>
      </c>
      <c r="D7" s="256"/>
      <c r="E7" s="256"/>
      <c r="F7" s="256"/>
      <c r="G7" s="256"/>
      <c r="H7" s="256"/>
      <c r="I7" s="256"/>
      <c r="J7" s="256"/>
      <c r="K7" s="256"/>
      <c r="L7" s="256"/>
      <c r="M7" s="256"/>
      <c r="N7" s="256"/>
      <c r="O7" s="256"/>
      <c r="P7" s="256"/>
      <c r="Q7" s="257"/>
    </row>
    <row r="8" spans="2:18" s="225" customFormat="1" ht="15" customHeight="1" x14ac:dyDescent="0.25">
      <c r="B8" s="227"/>
      <c r="C8" s="258" t="s">
        <v>408</v>
      </c>
      <c r="D8" s="259"/>
      <c r="E8" s="259"/>
      <c r="F8" s="259"/>
      <c r="G8" s="259"/>
      <c r="H8" s="259"/>
      <c r="I8" s="259"/>
      <c r="J8" s="259"/>
      <c r="K8" s="259"/>
      <c r="L8" s="259"/>
      <c r="M8" s="259"/>
      <c r="N8" s="259"/>
      <c r="O8" s="259"/>
      <c r="P8" s="259"/>
      <c r="Q8" s="260"/>
    </row>
    <row r="9" spans="2:18" s="225" customFormat="1" x14ac:dyDescent="0.25">
      <c r="B9" s="228"/>
      <c r="C9" s="264"/>
      <c r="D9" s="265"/>
      <c r="E9" s="265"/>
      <c r="F9" s="265"/>
      <c r="G9" s="265"/>
      <c r="H9" s="265"/>
      <c r="I9" s="265"/>
      <c r="J9" s="265"/>
      <c r="K9" s="265"/>
      <c r="L9" s="265"/>
      <c r="M9" s="265"/>
      <c r="N9" s="265"/>
      <c r="O9" s="265"/>
      <c r="P9" s="265"/>
      <c r="Q9" s="266"/>
    </row>
    <row r="10" spans="2:18" s="225" customFormat="1" x14ac:dyDescent="0.25">
      <c r="B10" s="226">
        <v>2</v>
      </c>
      <c r="C10" s="255" t="s">
        <v>391</v>
      </c>
      <c r="D10" s="256"/>
      <c r="E10" s="256"/>
      <c r="F10" s="256"/>
      <c r="G10" s="256"/>
      <c r="H10" s="256"/>
      <c r="I10" s="256"/>
      <c r="J10" s="256"/>
      <c r="K10" s="256"/>
      <c r="L10" s="256"/>
      <c r="M10" s="256"/>
      <c r="N10" s="256"/>
      <c r="O10" s="256"/>
      <c r="P10" s="256"/>
      <c r="Q10" s="257"/>
    </row>
    <row r="11" spans="2:18" s="225" customFormat="1" ht="15" customHeight="1" x14ac:dyDescent="0.25">
      <c r="B11" s="227"/>
      <c r="C11" s="258" t="s">
        <v>394</v>
      </c>
      <c r="D11" s="259"/>
      <c r="E11" s="259"/>
      <c r="F11" s="259"/>
      <c r="G11" s="259"/>
      <c r="H11" s="259"/>
      <c r="I11" s="259"/>
      <c r="J11" s="259"/>
      <c r="K11" s="259"/>
      <c r="L11" s="259"/>
      <c r="M11" s="259"/>
      <c r="N11" s="259"/>
      <c r="O11" s="259"/>
      <c r="P11" s="259"/>
      <c r="Q11" s="260"/>
    </row>
    <row r="12" spans="2:18" s="225" customFormat="1" x14ac:dyDescent="0.25">
      <c r="B12" s="227"/>
      <c r="C12" s="261"/>
      <c r="D12" s="262"/>
      <c r="E12" s="262"/>
      <c r="F12" s="262"/>
      <c r="G12" s="262"/>
      <c r="H12" s="262"/>
      <c r="I12" s="262"/>
      <c r="J12" s="262"/>
      <c r="K12" s="262"/>
      <c r="L12" s="262"/>
      <c r="M12" s="262"/>
      <c r="N12" s="262"/>
      <c r="O12" s="262"/>
      <c r="P12" s="262"/>
      <c r="Q12" s="263"/>
    </row>
    <row r="13" spans="2:18" s="225" customFormat="1" x14ac:dyDescent="0.25">
      <c r="B13" s="228"/>
      <c r="C13" s="264"/>
      <c r="D13" s="265"/>
      <c r="E13" s="265"/>
      <c r="F13" s="265"/>
      <c r="G13" s="265"/>
      <c r="H13" s="265"/>
      <c r="I13" s="265"/>
      <c r="J13" s="265"/>
      <c r="K13" s="265"/>
      <c r="L13" s="265"/>
      <c r="M13" s="265"/>
      <c r="N13" s="265"/>
      <c r="O13" s="265"/>
      <c r="P13" s="265"/>
      <c r="Q13" s="266"/>
    </row>
    <row r="14" spans="2:18" s="225" customFormat="1" x14ac:dyDescent="0.25">
      <c r="B14" s="226">
        <v>3</v>
      </c>
      <c r="C14" s="255" t="s">
        <v>392</v>
      </c>
      <c r="D14" s="256"/>
      <c r="E14" s="256"/>
      <c r="F14" s="256"/>
      <c r="G14" s="256"/>
      <c r="H14" s="256"/>
      <c r="I14" s="256"/>
      <c r="J14" s="256"/>
      <c r="K14" s="256"/>
      <c r="L14" s="256"/>
      <c r="M14" s="256"/>
      <c r="N14" s="256"/>
      <c r="O14" s="256"/>
      <c r="P14" s="256"/>
      <c r="Q14" s="257"/>
    </row>
    <row r="15" spans="2:18" s="225" customFormat="1" x14ac:dyDescent="0.25">
      <c r="B15" s="227"/>
      <c r="C15" s="262" t="s">
        <v>407</v>
      </c>
      <c r="D15" s="262"/>
      <c r="E15" s="262"/>
      <c r="F15" s="262"/>
      <c r="G15" s="262"/>
      <c r="H15" s="262"/>
      <c r="I15" s="262"/>
      <c r="J15" s="262"/>
      <c r="K15" s="262"/>
      <c r="L15" s="262"/>
      <c r="M15" s="262"/>
      <c r="N15" s="262"/>
      <c r="O15" s="262"/>
      <c r="P15" s="262"/>
      <c r="Q15" s="263"/>
      <c r="R15" s="229"/>
    </row>
    <row r="16" spans="2:18" s="225" customFormat="1" x14ac:dyDescent="0.25">
      <c r="B16" s="227"/>
      <c r="C16" s="262"/>
      <c r="D16" s="262"/>
      <c r="E16" s="262"/>
      <c r="F16" s="262"/>
      <c r="G16" s="262"/>
      <c r="H16" s="262"/>
      <c r="I16" s="262"/>
      <c r="J16" s="262"/>
      <c r="K16" s="262"/>
      <c r="L16" s="262"/>
      <c r="M16" s="262"/>
      <c r="N16" s="262"/>
      <c r="O16" s="262"/>
      <c r="P16" s="262"/>
      <c r="Q16" s="263"/>
      <c r="R16" s="229"/>
    </row>
    <row r="17" spans="2:18" s="225" customFormat="1" x14ac:dyDescent="0.25">
      <c r="B17" s="226">
        <v>4</v>
      </c>
      <c r="C17" s="255" t="s">
        <v>393</v>
      </c>
      <c r="D17" s="256"/>
      <c r="E17" s="256"/>
      <c r="F17" s="256"/>
      <c r="G17" s="256"/>
      <c r="H17" s="256"/>
      <c r="I17" s="256"/>
      <c r="J17" s="256"/>
      <c r="K17" s="256"/>
      <c r="L17" s="256"/>
      <c r="M17" s="256"/>
      <c r="N17" s="256"/>
      <c r="O17" s="256"/>
      <c r="P17" s="256"/>
      <c r="Q17" s="257"/>
    </row>
    <row r="18" spans="2:18" s="225" customFormat="1" x14ac:dyDescent="0.25">
      <c r="B18" s="227"/>
      <c r="C18" s="269" t="s">
        <v>406</v>
      </c>
      <c r="D18" s="269"/>
      <c r="E18" s="269"/>
      <c r="F18" s="269"/>
      <c r="G18" s="269"/>
      <c r="H18" s="269"/>
      <c r="I18" s="269"/>
      <c r="J18" s="269"/>
      <c r="K18" s="269"/>
      <c r="L18" s="269"/>
      <c r="M18" s="269"/>
      <c r="N18" s="269"/>
      <c r="O18" s="269"/>
      <c r="P18" s="269"/>
      <c r="Q18" s="270"/>
      <c r="R18" s="230"/>
    </row>
    <row r="19" spans="2:18" s="225" customFormat="1" x14ac:dyDescent="0.25">
      <c r="B19" s="227"/>
      <c r="C19" s="269"/>
      <c r="D19" s="269"/>
      <c r="E19" s="269"/>
      <c r="F19" s="269"/>
      <c r="G19" s="269"/>
      <c r="H19" s="269"/>
      <c r="I19" s="269"/>
      <c r="J19" s="269"/>
      <c r="K19" s="269"/>
      <c r="L19" s="269"/>
      <c r="M19" s="269"/>
      <c r="N19" s="269"/>
      <c r="O19" s="269"/>
      <c r="P19" s="269"/>
      <c r="Q19" s="270"/>
      <c r="R19" s="230"/>
    </row>
    <row r="20" spans="2:18" s="225" customFormat="1" x14ac:dyDescent="0.25">
      <c r="B20" s="226">
        <v>5</v>
      </c>
      <c r="C20" s="255" t="s">
        <v>395</v>
      </c>
      <c r="D20" s="256"/>
      <c r="E20" s="256"/>
      <c r="F20" s="256"/>
      <c r="G20" s="256"/>
      <c r="H20" s="256"/>
      <c r="I20" s="256"/>
      <c r="J20" s="256"/>
      <c r="K20" s="256"/>
      <c r="L20" s="256"/>
      <c r="M20" s="256"/>
      <c r="N20" s="256"/>
      <c r="O20" s="256"/>
      <c r="P20" s="256"/>
      <c r="Q20" s="257"/>
    </row>
    <row r="21" spans="2:18" s="225" customFormat="1" x14ac:dyDescent="0.25">
      <c r="B21" s="227"/>
      <c r="C21" s="283" t="s">
        <v>439</v>
      </c>
      <c r="D21" s="284"/>
      <c r="E21" s="284"/>
      <c r="F21" s="284"/>
      <c r="G21" s="284"/>
      <c r="H21" s="284"/>
      <c r="I21" s="284"/>
      <c r="J21" s="284"/>
      <c r="K21" s="284"/>
      <c r="L21" s="284"/>
      <c r="M21" s="284"/>
      <c r="N21" s="284"/>
      <c r="O21" s="284"/>
      <c r="P21" s="284"/>
      <c r="Q21" s="285"/>
    </row>
    <row r="22" spans="2:18" s="225" customFormat="1" x14ac:dyDescent="0.25">
      <c r="B22" s="227"/>
      <c r="C22" s="286"/>
      <c r="D22" s="287"/>
      <c r="E22" s="287"/>
      <c r="F22" s="287"/>
      <c r="G22" s="287"/>
      <c r="H22" s="287"/>
      <c r="I22" s="287"/>
      <c r="J22" s="287"/>
      <c r="K22" s="287"/>
      <c r="L22" s="287"/>
      <c r="M22" s="287"/>
      <c r="N22" s="287"/>
      <c r="O22" s="287"/>
      <c r="P22" s="287"/>
      <c r="Q22" s="288"/>
    </row>
    <row r="23" spans="2:18" s="225" customFormat="1" x14ac:dyDescent="0.25">
      <c r="B23" s="226">
        <v>6</v>
      </c>
      <c r="C23" s="289" t="s">
        <v>413</v>
      </c>
      <c r="D23" s="290"/>
      <c r="E23" s="290"/>
      <c r="F23" s="290"/>
      <c r="G23" s="290"/>
      <c r="H23" s="290"/>
      <c r="I23" s="290"/>
      <c r="J23" s="290"/>
      <c r="K23" s="290"/>
      <c r="L23" s="290"/>
      <c r="M23" s="290"/>
      <c r="N23" s="290"/>
      <c r="O23" s="290"/>
      <c r="P23" s="290"/>
      <c r="Q23" s="291"/>
    </row>
    <row r="24" spans="2:18" s="225" customFormat="1" ht="15" customHeight="1" x14ac:dyDescent="0.25">
      <c r="B24" s="227"/>
      <c r="C24" s="258" t="s">
        <v>405</v>
      </c>
      <c r="D24" s="259"/>
      <c r="E24" s="259"/>
      <c r="F24" s="259"/>
      <c r="G24" s="259"/>
      <c r="H24" s="259"/>
      <c r="I24" s="259"/>
      <c r="J24" s="259"/>
      <c r="K24" s="259"/>
      <c r="L24" s="259"/>
      <c r="M24" s="259"/>
      <c r="N24" s="259"/>
      <c r="O24" s="259"/>
      <c r="P24" s="259"/>
      <c r="Q24" s="260"/>
    </row>
    <row r="25" spans="2:18" s="225" customFormat="1" x14ac:dyDescent="0.25">
      <c r="B25" s="227"/>
      <c r="C25" s="264"/>
      <c r="D25" s="265"/>
      <c r="E25" s="265"/>
      <c r="F25" s="265"/>
      <c r="G25" s="265"/>
      <c r="H25" s="265"/>
      <c r="I25" s="265"/>
      <c r="J25" s="265"/>
      <c r="K25" s="265"/>
      <c r="L25" s="265"/>
      <c r="M25" s="265"/>
      <c r="N25" s="265"/>
      <c r="O25" s="265"/>
      <c r="P25" s="265"/>
      <c r="Q25" s="266"/>
    </row>
    <row r="26" spans="2:18" s="225" customFormat="1" x14ac:dyDescent="0.25">
      <c r="B26" s="227">
        <v>7</v>
      </c>
      <c r="C26" s="289" t="s">
        <v>396</v>
      </c>
      <c r="D26" s="290"/>
      <c r="E26" s="290"/>
      <c r="F26" s="290"/>
      <c r="G26" s="290"/>
      <c r="H26" s="290"/>
      <c r="I26" s="290"/>
      <c r="J26" s="290"/>
      <c r="K26" s="290"/>
      <c r="L26" s="290"/>
      <c r="M26" s="290"/>
      <c r="N26" s="290"/>
      <c r="O26" s="290"/>
      <c r="P26" s="290"/>
      <c r="Q26" s="291"/>
    </row>
    <row r="27" spans="2:18" s="225" customFormat="1" x14ac:dyDescent="0.25">
      <c r="B27" s="227"/>
      <c r="C27" s="274" t="s">
        <v>397</v>
      </c>
      <c r="D27" s="275"/>
      <c r="E27" s="275"/>
      <c r="F27" s="275"/>
      <c r="G27" s="275"/>
      <c r="H27" s="275"/>
      <c r="I27" s="275"/>
      <c r="J27" s="275"/>
      <c r="K27" s="275"/>
      <c r="L27" s="275"/>
      <c r="M27" s="275"/>
      <c r="N27" s="275"/>
      <c r="O27" s="275"/>
      <c r="P27" s="275"/>
      <c r="Q27" s="276"/>
    </row>
    <row r="28" spans="2:18" s="225" customFormat="1" x14ac:dyDescent="0.25">
      <c r="B28" s="228"/>
      <c r="C28" s="277"/>
      <c r="D28" s="278"/>
      <c r="E28" s="278"/>
      <c r="F28" s="278"/>
      <c r="G28" s="278"/>
      <c r="H28" s="278"/>
      <c r="I28" s="278"/>
      <c r="J28" s="278"/>
      <c r="K28" s="278"/>
      <c r="L28" s="278"/>
      <c r="M28" s="278"/>
      <c r="N28" s="278"/>
      <c r="O28" s="278"/>
      <c r="P28" s="278"/>
      <c r="Q28" s="279"/>
    </row>
    <row r="29" spans="2:18" s="225" customFormat="1" x14ac:dyDescent="0.25">
      <c r="B29" s="267">
        <v>8</v>
      </c>
      <c r="C29" s="268" t="s">
        <v>414</v>
      </c>
      <c r="D29" s="268"/>
      <c r="E29" s="268"/>
      <c r="F29" s="268"/>
      <c r="G29" s="268"/>
      <c r="H29" s="268"/>
      <c r="I29" s="268"/>
      <c r="J29" s="268"/>
      <c r="K29" s="268"/>
      <c r="L29" s="268"/>
      <c r="M29" s="268"/>
      <c r="N29" s="268"/>
      <c r="O29" s="268"/>
      <c r="P29" s="268"/>
      <c r="Q29" s="268"/>
    </row>
    <row r="30" spans="2:18" s="225" customFormat="1" ht="15" customHeight="1" x14ac:dyDescent="0.25">
      <c r="B30" s="267"/>
      <c r="C30" s="274" t="s">
        <v>405</v>
      </c>
      <c r="D30" s="275"/>
      <c r="E30" s="275"/>
      <c r="F30" s="275"/>
      <c r="G30" s="275"/>
      <c r="H30" s="275"/>
      <c r="I30" s="275"/>
      <c r="J30" s="275"/>
      <c r="K30" s="275"/>
      <c r="L30" s="275"/>
      <c r="M30" s="275"/>
      <c r="N30" s="275"/>
      <c r="O30" s="275"/>
      <c r="P30" s="275"/>
      <c r="Q30" s="276"/>
    </row>
    <row r="31" spans="2:18" s="225" customFormat="1" x14ac:dyDescent="0.25">
      <c r="B31" s="267"/>
      <c r="C31" s="277"/>
      <c r="D31" s="278"/>
      <c r="E31" s="278"/>
      <c r="F31" s="278"/>
      <c r="G31" s="278"/>
      <c r="H31" s="278"/>
      <c r="I31" s="278"/>
      <c r="J31" s="278"/>
      <c r="K31" s="278"/>
      <c r="L31" s="278"/>
      <c r="M31" s="278"/>
      <c r="N31" s="278"/>
      <c r="O31" s="278"/>
      <c r="P31" s="278"/>
      <c r="Q31" s="279"/>
    </row>
    <row r="32" spans="2:18" s="225" customFormat="1" x14ac:dyDescent="0.25">
      <c r="B32" s="280">
        <v>9</v>
      </c>
      <c r="C32" s="268" t="s">
        <v>399</v>
      </c>
      <c r="D32" s="268"/>
      <c r="E32" s="268"/>
      <c r="F32" s="268"/>
      <c r="G32" s="268"/>
      <c r="H32" s="268"/>
      <c r="I32" s="268"/>
      <c r="J32" s="268"/>
      <c r="K32" s="268"/>
      <c r="L32" s="268"/>
      <c r="M32" s="268"/>
      <c r="N32" s="268"/>
      <c r="O32" s="268"/>
      <c r="P32" s="268"/>
      <c r="Q32" s="268"/>
    </row>
    <row r="33" spans="2:17" s="225" customFormat="1" ht="15" customHeight="1" x14ac:dyDescent="0.25">
      <c r="B33" s="281"/>
      <c r="C33" s="259" t="s">
        <v>404</v>
      </c>
      <c r="D33" s="259"/>
      <c r="E33" s="259"/>
      <c r="F33" s="259"/>
      <c r="G33" s="259"/>
      <c r="H33" s="259"/>
      <c r="I33" s="259"/>
      <c r="J33" s="259"/>
      <c r="K33" s="259"/>
      <c r="L33" s="259"/>
      <c r="M33" s="259"/>
      <c r="N33" s="259"/>
      <c r="O33" s="259"/>
      <c r="P33" s="259"/>
      <c r="Q33" s="260"/>
    </row>
    <row r="34" spans="2:17" s="225" customFormat="1" x14ac:dyDescent="0.25">
      <c r="B34" s="267">
        <v>10</v>
      </c>
      <c r="C34" s="268" t="s">
        <v>400</v>
      </c>
      <c r="D34" s="268"/>
      <c r="E34" s="268"/>
      <c r="F34" s="268"/>
      <c r="G34" s="268"/>
      <c r="H34" s="268"/>
      <c r="I34" s="268"/>
      <c r="J34" s="268"/>
      <c r="K34" s="268"/>
      <c r="L34" s="268"/>
      <c r="M34" s="268"/>
      <c r="N34" s="268"/>
      <c r="O34" s="268"/>
      <c r="P34" s="268"/>
      <c r="Q34" s="268"/>
    </row>
    <row r="35" spans="2:17" s="225" customFormat="1" x14ac:dyDescent="0.25">
      <c r="B35" s="267"/>
      <c r="C35" s="282" t="s">
        <v>401</v>
      </c>
      <c r="D35" s="282"/>
      <c r="E35" s="282"/>
      <c r="F35" s="282"/>
      <c r="G35" s="282"/>
      <c r="H35" s="282"/>
      <c r="I35" s="282"/>
      <c r="J35" s="282"/>
      <c r="K35" s="282"/>
      <c r="L35" s="282"/>
      <c r="M35" s="282"/>
      <c r="N35" s="282"/>
      <c r="O35" s="282"/>
      <c r="P35" s="282"/>
      <c r="Q35" s="282"/>
    </row>
    <row r="36" spans="2:17" s="225" customFormat="1" x14ac:dyDescent="0.25">
      <c r="B36" s="267"/>
      <c r="C36" s="282"/>
      <c r="D36" s="282"/>
      <c r="E36" s="282"/>
      <c r="F36" s="282"/>
      <c r="G36" s="282"/>
      <c r="H36" s="282"/>
      <c r="I36" s="282"/>
      <c r="J36" s="282"/>
      <c r="K36" s="282"/>
      <c r="L36" s="282"/>
      <c r="M36" s="282"/>
      <c r="N36" s="282"/>
      <c r="O36" s="282"/>
      <c r="P36" s="282"/>
      <c r="Q36" s="282"/>
    </row>
    <row r="37" spans="2:17" s="225" customFormat="1" x14ac:dyDescent="0.25">
      <c r="B37" s="271">
        <v>11</v>
      </c>
      <c r="C37" s="257" t="s">
        <v>402</v>
      </c>
      <c r="D37" s="268"/>
      <c r="E37" s="268"/>
      <c r="F37" s="268"/>
      <c r="G37" s="268"/>
      <c r="H37" s="268"/>
      <c r="I37" s="268"/>
      <c r="J37" s="268"/>
      <c r="K37" s="268"/>
      <c r="L37" s="268"/>
      <c r="M37" s="268"/>
      <c r="N37" s="268"/>
      <c r="O37" s="268"/>
      <c r="P37" s="268"/>
      <c r="Q37" s="268"/>
    </row>
    <row r="38" spans="2:17" s="225" customFormat="1" x14ac:dyDescent="0.25">
      <c r="B38" s="272"/>
      <c r="C38" s="273" t="s">
        <v>403</v>
      </c>
      <c r="D38" s="273"/>
      <c r="E38" s="273"/>
      <c r="F38" s="273"/>
      <c r="G38" s="273"/>
      <c r="H38" s="273"/>
      <c r="I38" s="273"/>
      <c r="J38" s="273"/>
      <c r="K38" s="273"/>
      <c r="L38" s="273"/>
      <c r="M38" s="273"/>
      <c r="N38" s="273"/>
      <c r="O38" s="273"/>
      <c r="P38" s="273"/>
      <c r="Q38" s="273"/>
    </row>
  </sheetData>
  <mergeCells count="28">
    <mergeCell ref="C37:Q37"/>
    <mergeCell ref="B37:B38"/>
    <mergeCell ref="C38:Q38"/>
    <mergeCell ref="C8:Q9"/>
    <mergeCell ref="C24:Q25"/>
    <mergeCell ref="C30:Q31"/>
    <mergeCell ref="C33:Q33"/>
    <mergeCell ref="C34:Q34"/>
    <mergeCell ref="B32:B33"/>
    <mergeCell ref="C35:Q36"/>
    <mergeCell ref="B34:B36"/>
    <mergeCell ref="C21:Q22"/>
    <mergeCell ref="C23:Q23"/>
    <mergeCell ref="C26:Q26"/>
    <mergeCell ref="C27:Q28"/>
    <mergeCell ref="C29:Q29"/>
    <mergeCell ref="B29:B31"/>
    <mergeCell ref="C32:Q32"/>
    <mergeCell ref="C14:Q14"/>
    <mergeCell ref="C15:Q16"/>
    <mergeCell ref="C17:Q17"/>
    <mergeCell ref="C18:Q19"/>
    <mergeCell ref="C20:Q20"/>
    <mergeCell ref="E2:N2"/>
    <mergeCell ref="C4:P5"/>
    <mergeCell ref="C7:Q7"/>
    <mergeCell ref="C10:Q10"/>
    <mergeCell ref="C11:Q1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D1:G11"/>
  <sheetViews>
    <sheetView topLeftCell="A10" zoomScale="82" zoomScaleNormal="82" workbookViewId="0">
      <selection activeCell="D46" sqref="D46"/>
    </sheetView>
  </sheetViews>
  <sheetFormatPr defaultRowHeight="15" x14ac:dyDescent="0.25"/>
  <cols>
    <col min="1" max="2" width="9.140625" style="1"/>
    <col min="3" max="3" width="4.28515625" style="1" customWidth="1"/>
    <col min="4" max="4" width="131.7109375" style="1" customWidth="1"/>
    <col min="5" max="5" width="13.42578125" style="64" customWidth="1"/>
    <col min="6" max="6" width="23" style="1" customWidth="1"/>
    <col min="7" max="16384" width="9.140625" style="1"/>
  </cols>
  <sheetData>
    <row r="1" spans="4:7" ht="41.25" customHeight="1" x14ac:dyDescent="0.25"/>
    <row r="2" spans="4:7" ht="48.75" customHeight="1" x14ac:dyDescent="0.25">
      <c r="D2" s="124" t="s">
        <v>325</v>
      </c>
      <c r="E2" s="118" t="s">
        <v>316</v>
      </c>
      <c r="F2" s="118" t="s">
        <v>317</v>
      </c>
    </row>
    <row r="3" spans="4:7" x14ac:dyDescent="0.25">
      <c r="D3" s="4" t="s">
        <v>314</v>
      </c>
      <c r="E3" s="120">
        <f>'BAU (2030)'!J25</f>
        <v>272119.7300712248</v>
      </c>
      <c r="F3" s="89"/>
    </row>
    <row r="4" spans="4:7" x14ac:dyDescent="0.25">
      <c r="D4" s="4" t="s">
        <v>315</v>
      </c>
      <c r="E4" s="120">
        <f>'BAU (2030)'!T25</f>
        <v>1484434.1485442054</v>
      </c>
      <c r="F4" s="89"/>
    </row>
    <row r="5" spans="4:7" x14ac:dyDescent="0.25">
      <c r="D5" s="4" t="s">
        <v>323</v>
      </c>
      <c r="E5" s="120">
        <f>'CMP_As Is Scenario (2030)'!J26+'Construction Emissions'!M14</f>
        <v>1128143.0601279065</v>
      </c>
      <c r="F5" s="121">
        <f t="shared" ref="F5:F10" si="0">($E$4-E5)/$E$4</f>
        <v>0.2400181165097259</v>
      </c>
    </row>
    <row r="6" spans="4:7" x14ac:dyDescent="0.25">
      <c r="D6" s="4" t="s">
        <v>324</v>
      </c>
      <c r="E6" s="120">
        <f>'CMP_Most Likely (2030)'!J26+'Construction Emissions'!M14</f>
        <v>1365553.2197920044</v>
      </c>
      <c r="F6" s="121">
        <f t="shared" si="0"/>
        <v>8.0085013450268736E-2</v>
      </c>
    </row>
    <row r="7" spans="4:7" ht="30.75" customHeight="1" x14ac:dyDescent="0.25">
      <c r="D7" s="119" t="s">
        <v>318</v>
      </c>
      <c r="E7" s="120">
        <f>('CMP Add Measures(2030)'!M26)</f>
        <v>1093203.5646424456</v>
      </c>
      <c r="F7" s="121">
        <f t="shared" si="0"/>
        <v>0.26355536504293048</v>
      </c>
    </row>
    <row r="8" spans="4:7" ht="16.5" customHeight="1" x14ac:dyDescent="0.25">
      <c r="D8" s="4" t="s">
        <v>319</v>
      </c>
      <c r="E8" s="120">
        <f>E7*(1-'Additional Measures'!I8)</f>
        <v>1070945.5270122946</v>
      </c>
      <c r="F8" s="121">
        <f t="shared" si="0"/>
        <v>0.27854965606754722</v>
      </c>
    </row>
    <row r="9" spans="4:7" x14ac:dyDescent="0.25">
      <c r="D9" s="4" t="s">
        <v>320</v>
      </c>
      <c r="E9" s="120">
        <f>E8*(1-'Additional Measures'!I9)</f>
        <v>921130.91877459316</v>
      </c>
      <c r="F9" s="121">
        <f t="shared" si="0"/>
        <v>0.37947337059178238</v>
      </c>
    </row>
    <row r="10" spans="4:7" x14ac:dyDescent="0.25">
      <c r="D10" s="4" t="s">
        <v>321</v>
      </c>
      <c r="E10" s="120">
        <f>E9*(1-'Additional Measures'!I10)</f>
        <v>913969.17592284863</v>
      </c>
      <c r="F10" s="121">
        <f t="shared" si="0"/>
        <v>0.38429793142445262</v>
      </c>
    </row>
    <row r="11" spans="4:7" x14ac:dyDescent="0.25">
      <c r="D11" s="4" t="s">
        <v>322</v>
      </c>
      <c r="E11" s="120">
        <f>E10</f>
        <v>913969.17592284863</v>
      </c>
      <c r="F11" s="121">
        <f>F10</f>
        <v>0.38429793142445262</v>
      </c>
      <c r="G11" s="65"/>
    </row>
  </sheetData>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C4:L77"/>
  <sheetViews>
    <sheetView zoomScale="77" zoomScaleNormal="77" workbookViewId="0">
      <selection activeCell="E30" sqref="E30"/>
    </sheetView>
  </sheetViews>
  <sheetFormatPr defaultRowHeight="15" x14ac:dyDescent="0.25"/>
  <cols>
    <col min="1" max="2" width="9.140625" style="59"/>
    <col min="3" max="3" width="53.5703125" style="59" bestFit="1" customWidth="1"/>
    <col min="4" max="4" width="13.140625" style="59" customWidth="1"/>
    <col min="5" max="5" width="30.5703125" style="59" bestFit="1" customWidth="1"/>
    <col min="6" max="6" width="11.28515625" style="59" bestFit="1" customWidth="1"/>
    <col min="7" max="7" width="18.5703125" style="59" bestFit="1" customWidth="1"/>
    <col min="8" max="8" width="9.140625" style="59"/>
    <col min="9" max="9" width="5.7109375" style="59" bestFit="1" customWidth="1"/>
    <col min="10" max="10" width="11.28515625" style="59" bestFit="1" customWidth="1"/>
    <col min="11" max="16384" width="9.140625" style="59"/>
  </cols>
  <sheetData>
    <row r="4" spans="3:5" ht="18.75" x14ac:dyDescent="0.3">
      <c r="C4" s="294" t="s">
        <v>190</v>
      </c>
      <c r="D4" s="294"/>
      <c r="E4" s="294"/>
    </row>
    <row r="5" spans="3:5" x14ac:dyDescent="0.25">
      <c r="C5" s="13" t="s">
        <v>188</v>
      </c>
      <c r="D5" s="13" t="s">
        <v>189</v>
      </c>
      <c r="E5" s="4">
        <v>0.85</v>
      </c>
    </row>
    <row r="6" spans="3:5" ht="17.25" customHeight="1" x14ac:dyDescent="0.25">
      <c r="C6" s="295" t="s">
        <v>311</v>
      </c>
      <c r="D6" s="296"/>
      <c r="E6" s="297"/>
    </row>
    <row r="7" spans="3:5" ht="30" x14ac:dyDescent="0.25">
      <c r="C7" s="115" t="s">
        <v>310</v>
      </c>
      <c r="D7" s="114">
        <v>0.1</v>
      </c>
      <c r="E7" s="73">
        <f>E5*((1-D7))</f>
        <v>0.76500000000000001</v>
      </c>
    </row>
    <row r="8" spans="3:5" ht="15.75" customHeight="1" x14ac:dyDescent="0.25">
      <c r="C8" s="298" t="s">
        <v>440</v>
      </c>
      <c r="D8" s="300">
        <v>0.01</v>
      </c>
    </row>
    <row r="9" spans="3:5" ht="15.75" customHeight="1" x14ac:dyDescent="0.25">
      <c r="C9" s="299"/>
      <c r="D9" s="301"/>
    </row>
    <row r="10" spans="3:5" ht="15.75" customHeight="1" x14ac:dyDescent="0.25"/>
    <row r="12" spans="3:5" ht="15.75" x14ac:dyDescent="0.25">
      <c r="C12" s="90" t="s">
        <v>134</v>
      </c>
      <c r="D12" s="90" t="s">
        <v>313</v>
      </c>
    </row>
    <row r="13" spans="3:5" x14ac:dyDescent="0.25">
      <c r="C13" s="13" t="s">
        <v>1</v>
      </c>
      <c r="D13" s="4">
        <v>20</v>
      </c>
    </row>
    <row r="14" spans="3:5" x14ac:dyDescent="0.25">
      <c r="C14" s="13" t="s">
        <v>2</v>
      </c>
      <c r="D14" s="4">
        <v>20</v>
      </c>
    </row>
    <row r="15" spans="3:5" x14ac:dyDescent="0.25">
      <c r="C15" s="13" t="s">
        <v>4</v>
      </c>
      <c r="D15" s="4">
        <v>20</v>
      </c>
    </row>
    <row r="16" spans="3:5" x14ac:dyDescent="0.25">
      <c r="C16" s="13" t="s">
        <v>227</v>
      </c>
      <c r="D16" s="4">
        <v>20</v>
      </c>
    </row>
    <row r="17" spans="3:12" x14ac:dyDescent="0.25">
      <c r="C17" s="13" t="s">
        <v>10</v>
      </c>
      <c r="D17" s="4">
        <v>20</v>
      </c>
    </row>
    <row r="18" spans="3:12" x14ac:dyDescent="0.25">
      <c r="C18" s="13" t="s">
        <v>11</v>
      </c>
      <c r="D18" s="4">
        <v>20</v>
      </c>
    </row>
    <row r="19" spans="3:12" x14ac:dyDescent="0.25">
      <c r="C19" s="13" t="s">
        <v>13</v>
      </c>
      <c r="D19" s="4">
        <v>20</v>
      </c>
    </row>
    <row r="20" spans="3:12" x14ac:dyDescent="0.25">
      <c r="C20" s="13" t="s">
        <v>228</v>
      </c>
      <c r="D20" s="4">
        <v>20</v>
      </c>
    </row>
    <row r="21" spans="3:12" x14ac:dyDescent="0.25">
      <c r="C21" s="13" t="s">
        <v>229</v>
      </c>
      <c r="D21" s="4">
        <v>20</v>
      </c>
    </row>
    <row r="25" spans="3:12" ht="15.75" x14ac:dyDescent="0.25">
      <c r="C25" s="295" t="s">
        <v>327</v>
      </c>
      <c r="D25" s="296"/>
      <c r="E25" s="296"/>
      <c r="F25" s="296"/>
      <c r="G25" s="296"/>
      <c r="H25" s="296"/>
      <c r="I25" s="296"/>
      <c r="J25" s="296"/>
      <c r="K25" s="296"/>
      <c r="L25" s="297"/>
    </row>
    <row r="26" spans="3:12" ht="15.75" x14ac:dyDescent="0.25">
      <c r="C26" s="125" t="s">
        <v>117</v>
      </c>
      <c r="D26" s="125" t="s">
        <v>118</v>
      </c>
      <c r="E26" s="125" t="s">
        <v>289</v>
      </c>
      <c r="F26" s="293" t="s">
        <v>119</v>
      </c>
      <c r="G26" s="293"/>
      <c r="H26" s="293"/>
      <c r="I26" s="293"/>
      <c r="J26" s="293"/>
      <c r="K26" s="293"/>
      <c r="L26" s="293"/>
    </row>
    <row r="27" spans="3:12" ht="64.5" x14ac:dyDescent="0.25">
      <c r="C27" s="126" t="s">
        <v>1</v>
      </c>
      <c r="D27" s="87" t="s">
        <v>120</v>
      </c>
      <c r="E27" s="87">
        <v>1900</v>
      </c>
      <c r="F27" s="292" t="s">
        <v>121</v>
      </c>
      <c r="G27" s="292"/>
      <c r="H27" s="292"/>
      <c r="I27" s="292"/>
      <c r="J27" s="292"/>
      <c r="K27" s="292"/>
      <c r="L27" s="292"/>
    </row>
    <row r="28" spans="3:12" ht="64.5" x14ac:dyDescent="0.25">
      <c r="C28" s="126" t="s">
        <v>122</v>
      </c>
      <c r="D28" s="87" t="s">
        <v>120</v>
      </c>
      <c r="E28" s="87">
        <v>20</v>
      </c>
      <c r="F28" s="292" t="s">
        <v>123</v>
      </c>
      <c r="G28" s="292"/>
      <c r="H28" s="292"/>
      <c r="I28" s="292"/>
      <c r="J28" s="292"/>
      <c r="K28" s="292"/>
      <c r="L28" s="292"/>
    </row>
    <row r="29" spans="3:12" ht="51.75" x14ac:dyDescent="0.25">
      <c r="C29" s="126" t="s">
        <v>2</v>
      </c>
      <c r="D29" s="87" t="s">
        <v>124</v>
      </c>
      <c r="E29" s="87">
        <v>15600</v>
      </c>
      <c r="F29" s="292" t="s">
        <v>125</v>
      </c>
      <c r="G29" s="292"/>
      <c r="H29" s="292"/>
      <c r="I29" s="292"/>
      <c r="J29" s="292"/>
      <c r="K29" s="292"/>
      <c r="L29" s="292"/>
    </row>
    <row r="30" spans="3:12" ht="77.25" x14ac:dyDescent="0.25">
      <c r="C30" s="126" t="s">
        <v>126</v>
      </c>
      <c r="D30" s="87" t="s">
        <v>127</v>
      </c>
      <c r="E30" s="87">
        <v>875</v>
      </c>
      <c r="F30" s="292" t="s">
        <v>128</v>
      </c>
      <c r="G30" s="292"/>
      <c r="H30" s="292"/>
      <c r="I30" s="292"/>
      <c r="J30" s="292"/>
      <c r="K30" s="292"/>
      <c r="L30" s="292"/>
    </row>
    <row r="31" spans="3:12" ht="90" x14ac:dyDescent="0.25">
      <c r="C31" s="126" t="s">
        <v>132</v>
      </c>
      <c r="D31" s="87" t="s">
        <v>129</v>
      </c>
      <c r="E31" s="87">
        <v>2100</v>
      </c>
      <c r="F31" s="292" t="s">
        <v>130</v>
      </c>
      <c r="G31" s="292"/>
      <c r="H31" s="292"/>
      <c r="I31" s="292"/>
      <c r="J31" s="292"/>
      <c r="K31" s="292"/>
      <c r="L31" s="292"/>
    </row>
    <row r="32" spans="3:12" ht="90" x14ac:dyDescent="0.25">
      <c r="C32" s="126" t="s">
        <v>133</v>
      </c>
      <c r="D32" s="87" t="s">
        <v>129</v>
      </c>
      <c r="E32" s="87">
        <v>1100</v>
      </c>
      <c r="F32" s="292" t="s">
        <v>131</v>
      </c>
      <c r="G32" s="292"/>
      <c r="H32" s="292"/>
      <c r="I32" s="292"/>
      <c r="J32" s="292"/>
      <c r="K32" s="292"/>
      <c r="L32" s="292"/>
    </row>
    <row r="39" ht="15" customHeight="1" x14ac:dyDescent="0.25"/>
    <row r="54" spans="3:8" x14ac:dyDescent="0.25">
      <c r="C54" s="1"/>
      <c r="D54" s="1"/>
      <c r="E54" s="1"/>
      <c r="F54" s="1"/>
      <c r="G54" s="1"/>
      <c r="H54" s="1"/>
    </row>
    <row r="55" spans="3:8" x14ac:dyDescent="0.25">
      <c r="C55" s="1"/>
      <c r="D55" s="1"/>
      <c r="E55" s="1"/>
      <c r="F55" s="1"/>
      <c r="G55" s="1"/>
      <c r="H55" s="1"/>
    </row>
    <row r="56" spans="3:8" x14ac:dyDescent="0.25">
      <c r="C56" s="1"/>
      <c r="D56" s="1"/>
      <c r="E56" s="1"/>
      <c r="F56" s="1"/>
      <c r="G56" s="1"/>
      <c r="H56" s="1"/>
    </row>
    <row r="57" spans="3:8" x14ac:dyDescent="0.25">
      <c r="C57" s="1"/>
      <c r="D57" s="1"/>
      <c r="E57" s="1"/>
      <c r="F57" s="1"/>
      <c r="G57" s="1"/>
      <c r="H57" s="1"/>
    </row>
    <row r="58" spans="3:8" ht="75.75" thickBot="1" x14ac:dyDescent="0.3">
      <c r="C58" s="25" t="s">
        <v>73</v>
      </c>
      <c r="D58" s="25" t="s">
        <v>52</v>
      </c>
      <c r="E58" s="25" t="s">
        <v>91</v>
      </c>
      <c r="F58" s="25" t="s">
        <v>115</v>
      </c>
      <c r="G58" s="25" t="s">
        <v>116</v>
      </c>
      <c r="H58" s="1"/>
    </row>
    <row r="59" spans="3:8" ht="15.75" thickBot="1" x14ac:dyDescent="0.3">
      <c r="C59" s="35" t="s">
        <v>77</v>
      </c>
      <c r="D59" s="36" t="s">
        <v>78</v>
      </c>
      <c r="E59" s="26">
        <v>1</v>
      </c>
      <c r="F59" s="27">
        <v>1</v>
      </c>
      <c r="G59" s="27">
        <v>1</v>
      </c>
      <c r="H59" s="1"/>
    </row>
    <row r="60" spans="3:8" x14ac:dyDescent="0.25">
      <c r="C60" s="37" t="s">
        <v>82</v>
      </c>
      <c r="D60" s="33" t="s">
        <v>53</v>
      </c>
      <c r="E60" s="28">
        <v>1</v>
      </c>
      <c r="F60" s="29">
        <v>1</v>
      </c>
      <c r="G60" s="29">
        <v>1</v>
      </c>
      <c r="H60" s="1"/>
    </row>
    <row r="61" spans="3:8" x14ac:dyDescent="0.25">
      <c r="C61" s="38" t="s">
        <v>82</v>
      </c>
      <c r="D61" s="6" t="s">
        <v>55</v>
      </c>
      <c r="E61" s="12">
        <v>0</v>
      </c>
      <c r="F61" s="30">
        <v>0</v>
      </c>
      <c r="G61" s="30">
        <v>0</v>
      </c>
      <c r="H61" s="1"/>
    </row>
    <row r="62" spans="3:8" x14ac:dyDescent="0.25">
      <c r="C62" s="38" t="s">
        <v>82</v>
      </c>
      <c r="D62" s="6" t="s">
        <v>81</v>
      </c>
      <c r="E62" s="12">
        <v>0</v>
      </c>
      <c r="F62" s="30">
        <v>0</v>
      </c>
      <c r="G62" s="30">
        <v>0</v>
      </c>
      <c r="H62" s="1"/>
    </row>
    <row r="63" spans="3:8" ht="15.75" thickBot="1" x14ac:dyDescent="0.3">
      <c r="C63" s="39" t="s">
        <v>93</v>
      </c>
      <c r="D63" s="34" t="s">
        <v>54</v>
      </c>
      <c r="E63" s="31">
        <v>0</v>
      </c>
      <c r="F63" s="32">
        <v>0</v>
      </c>
      <c r="G63" s="32">
        <v>0</v>
      </c>
      <c r="H63" s="1"/>
    </row>
    <row r="64" spans="3:8" x14ac:dyDescent="0.25">
      <c r="C64" s="37" t="s">
        <v>24</v>
      </c>
      <c r="D64" s="33" t="s">
        <v>78</v>
      </c>
      <c r="E64" s="28">
        <v>1</v>
      </c>
      <c r="F64" s="29">
        <v>1</v>
      </c>
      <c r="G64" s="29">
        <v>1</v>
      </c>
      <c r="H64" s="1"/>
    </row>
    <row r="65" spans="3:8" x14ac:dyDescent="0.25">
      <c r="C65" s="38" t="s">
        <v>24</v>
      </c>
      <c r="D65" s="6" t="s">
        <v>79</v>
      </c>
      <c r="E65" s="12">
        <v>0</v>
      </c>
      <c r="F65" s="30">
        <v>0</v>
      </c>
      <c r="G65" s="30">
        <v>0</v>
      </c>
      <c r="H65" s="1"/>
    </row>
    <row r="66" spans="3:8" ht="15.75" thickBot="1" x14ac:dyDescent="0.3">
      <c r="C66" s="39" t="s">
        <v>24</v>
      </c>
      <c r="D66" s="34" t="s">
        <v>55</v>
      </c>
      <c r="E66" s="31">
        <v>0</v>
      </c>
      <c r="F66" s="32">
        <v>0</v>
      </c>
      <c r="G66" s="32">
        <v>0</v>
      </c>
      <c r="H66" s="1"/>
    </row>
    <row r="67" spans="3:8" x14ac:dyDescent="0.25">
      <c r="C67" s="37" t="s">
        <v>26</v>
      </c>
      <c r="D67" s="33" t="s">
        <v>78</v>
      </c>
      <c r="E67" s="28">
        <v>0</v>
      </c>
      <c r="F67" s="29">
        <v>0</v>
      </c>
      <c r="G67" s="29">
        <v>0</v>
      </c>
      <c r="H67" s="1"/>
    </row>
    <row r="68" spans="3:8" x14ac:dyDescent="0.25">
      <c r="C68" s="38" t="s">
        <v>26</v>
      </c>
      <c r="D68" s="6" t="s">
        <v>79</v>
      </c>
      <c r="E68" s="12">
        <v>1</v>
      </c>
      <c r="F68" s="30">
        <v>1</v>
      </c>
      <c r="G68" s="30">
        <v>1</v>
      </c>
      <c r="H68" s="1"/>
    </row>
    <row r="69" spans="3:8" x14ac:dyDescent="0.25">
      <c r="C69" s="38" t="s">
        <v>80</v>
      </c>
      <c r="D69" s="6" t="s">
        <v>55</v>
      </c>
      <c r="E69" s="12">
        <v>0</v>
      </c>
      <c r="F69" s="30">
        <v>0</v>
      </c>
      <c r="G69" s="30">
        <v>0</v>
      </c>
      <c r="H69" s="1"/>
    </row>
    <row r="70" spans="3:8" ht="15.75" thickBot="1" x14ac:dyDescent="0.3">
      <c r="C70" s="39" t="s">
        <v>26</v>
      </c>
      <c r="D70" s="34" t="s">
        <v>81</v>
      </c>
      <c r="E70" s="31">
        <v>0</v>
      </c>
      <c r="F70" s="32">
        <v>0</v>
      </c>
      <c r="G70" s="32">
        <v>0</v>
      </c>
      <c r="H70" s="1"/>
    </row>
    <row r="71" spans="3:8" x14ac:dyDescent="0.25">
      <c r="C71" s="37" t="s">
        <v>76</v>
      </c>
      <c r="D71" s="33" t="s">
        <v>54</v>
      </c>
      <c r="E71" s="28">
        <v>0</v>
      </c>
      <c r="F71" s="29">
        <v>0</v>
      </c>
      <c r="G71" s="29">
        <v>0</v>
      </c>
      <c r="H71" s="1"/>
    </row>
    <row r="72" spans="3:8" x14ac:dyDescent="0.25">
      <c r="C72" s="38" t="s">
        <v>38</v>
      </c>
      <c r="D72" s="6" t="s">
        <v>54</v>
      </c>
      <c r="E72" s="12">
        <v>1</v>
      </c>
      <c r="F72" s="30">
        <v>1</v>
      </c>
      <c r="G72" s="30">
        <v>1</v>
      </c>
      <c r="H72" s="1"/>
    </row>
    <row r="73" spans="3:8" ht="15.75" thickBot="1" x14ac:dyDescent="0.3">
      <c r="C73" s="39" t="s">
        <v>38</v>
      </c>
      <c r="D73" s="34" t="s">
        <v>55</v>
      </c>
      <c r="E73" s="31">
        <v>0</v>
      </c>
      <c r="F73" s="32">
        <v>0</v>
      </c>
      <c r="G73" s="32">
        <v>0</v>
      </c>
      <c r="H73" s="1"/>
    </row>
    <row r="74" spans="3:8" x14ac:dyDescent="0.25">
      <c r="C74" s="37" t="s">
        <v>1</v>
      </c>
      <c r="D74" s="33" t="s">
        <v>54</v>
      </c>
      <c r="E74" s="28">
        <v>0</v>
      </c>
      <c r="F74" s="29">
        <v>0</v>
      </c>
      <c r="G74" s="29">
        <v>1</v>
      </c>
      <c r="H74" s="1"/>
    </row>
    <row r="75" spans="3:8" ht="15.75" thickBot="1" x14ac:dyDescent="0.3">
      <c r="C75" s="39" t="s">
        <v>1</v>
      </c>
      <c r="D75" s="34" t="s">
        <v>55</v>
      </c>
      <c r="E75" s="31">
        <v>0</v>
      </c>
      <c r="F75" s="32">
        <v>0</v>
      </c>
      <c r="G75" s="32">
        <v>0</v>
      </c>
      <c r="H75" s="1"/>
    </row>
    <row r="76" spans="3:8" ht="15.75" thickBot="1" x14ac:dyDescent="0.3">
      <c r="C76" s="40" t="s">
        <v>2</v>
      </c>
      <c r="D76" s="41" t="s">
        <v>67</v>
      </c>
      <c r="E76" s="41"/>
      <c r="F76" s="43">
        <v>0</v>
      </c>
      <c r="G76" s="43">
        <v>1</v>
      </c>
      <c r="H76" s="1"/>
    </row>
    <row r="77" spans="3:8" ht="15.75" thickBot="1" x14ac:dyDescent="0.3">
      <c r="C77" s="42" t="s">
        <v>114</v>
      </c>
      <c r="D77" s="36" t="s">
        <v>67</v>
      </c>
      <c r="E77" s="36"/>
      <c r="F77" s="27">
        <v>0</v>
      </c>
      <c r="G77" s="27">
        <v>1</v>
      </c>
      <c r="H77" s="1"/>
    </row>
  </sheetData>
  <mergeCells count="12">
    <mergeCell ref="C4:E4"/>
    <mergeCell ref="C6:E6"/>
    <mergeCell ref="C25:L25"/>
    <mergeCell ref="F29:L29"/>
    <mergeCell ref="F30:L30"/>
    <mergeCell ref="C8:C9"/>
    <mergeCell ref="D8:D9"/>
    <mergeCell ref="F32:L32"/>
    <mergeCell ref="F31:L31"/>
    <mergeCell ref="F26:L26"/>
    <mergeCell ref="F27:L27"/>
    <mergeCell ref="F28:L28"/>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B4:N72"/>
  <sheetViews>
    <sheetView topLeftCell="C1" zoomScale="82" zoomScaleNormal="82" workbookViewId="0">
      <selection activeCell="G24" sqref="G24"/>
    </sheetView>
  </sheetViews>
  <sheetFormatPr defaultRowHeight="15" x14ac:dyDescent="0.25"/>
  <cols>
    <col min="1" max="1" width="9.140625" style="1"/>
    <col min="2" max="2" width="49.28515625" style="1" customWidth="1"/>
    <col min="3" max="3" width="27.28515625" style="1" customWidth="1"/>
    <col min="4" max="4" width="16.140625" style="1" bestFit="1" customWidth="1"/>
    <col min="5" max="5" width="12.7109375" style="1" bestFit="1" customWidth="1"/>
    <col min="6" max="6" width="15.28515625" style="1" bestFit="1" customWidth="1"/>
    <col min="7" max="7" width="17" style="1" bestFit="1" customWidth="1"/>
    <col min="8" max="8" width="10.28515625" style="1" customWidth="1"/>
    <col min="9" max="9" width="16.85546875" style="1" bestFit="1" customWidth="1"/>
    <col min="10" max="10" width="6.5703125" style="1" customWidth="1"/>
    <col min="11" max="11" width="8.28515625" style="1" customWidth="1"/>
    <col min="12" max="12" width="21.5703125" style="1" customWidth="1"/>
    <col min="13" max="13" width="17.42578125" style="1" customWidth="1"/>
    <col min="14" max="14" width="14.5703125" style="1" customWidth="1"/>
    <col min="15" max="16384" width="9.140625" style="1"/>
  </cols>
  <sheetData>
    <row r="4" spans="2:14" ht="18.75" customHeight="1" x14ac:dyDescent="0.3">
      <c r="B4" s="304" t="s">
        <v>293</v>
      </c>
      <c r="C4" s="305"/>
      <c r="D4" s="305"/>
      <c r="E4" s="305"/>
      <c r="F4" s="305"/>
      <c r="G4" s="306"/>
      <c r="L4" s="302" t="s">
        <v>45</v>
      </c>
      <c r="M4" s="302"/>
      <c r="N4" s="302"/>
    </row>
    <row r="5" spans="2:14" ht="11.25" customHeight="1" x14ac:dyDescent="0.25">
      <c r="L5" s="90"/>
      <c r="M5" s="90" t="s">
        <v>40</v>
      </c>
      <c r="N5" s="90" t="s">
        <v>41</v>
      </c>
    </row>
    <row r="6" spans="2:14" ht="15" customHeight="1" x14ac:dyDescent="0.25">
      <c r="B6" s="2" t="s">
        <v>60</v>
      </c>
      <c r="C6" s="303" t="s">
        <v>59</v>
      </c>
      <c r="D6" s="303"/>
      <c r="E6" s="303"/>
      <c r="F6" s="303"/>
      <c r="G6" s="303"/>
      <c r="I6" s="302" t="s">
        <v>292</v>
      </c>
      <c r="J6" s="302"/>
      <c r="L6" s="309" t="s">
        <v>42</v>
      </c>
      <c r="M6" s="76">
        <v>1906</v>
      </c>
      <c r="N6" s="76">
        <v>22948</v>
      </c>
    </row>
    <row r="7" spans="2:14" ht="24.75" customHeight="1" x14ac:dyDescent="0.25">
      <c r="B7" s="2" t="s">
        <v>18</v>
      </c>
      <c r="C7" s="2">
        <v>0</v>
      </c>
      <c r="D7" s="2">
        <v>22</v>
      </c>
      <c r="E7" s="2">
        <v>22</v>
      </c>
      <c r="F7" s="2" t="s">
        <v>34</v>
      </c>
      <c r="G7" s="2" t="s">
        <v>33</v>
      </c>
      <c r="I7" s="302"/>
      <c r="J7" s="302"/>
      <c r="L7" s="310"/>
      <c r="M7" s="76">
        <v>762</v>
      </c>
      <c r="N7" s="76">
        <v>9955</v>
      </c>
    </row>
    <row r="8" spans="2:14" x14ac:dyDescent="0.25">
      <c r="B8" s="2" t="s">
        <v>19</v>
      </c>
      <c r="C8" s="2" t="s">
        <v>20</v>
      </c>
      <c r="D8" s="2" t="s">
        <v>21</v>
      </c>
      <c r="E8" s="2" t="s">
        <v>22</v>
      </c>
      <c r="F8" s="2"/>
      <c r="G8" s="71"/>
      <c r="I8" s="13" t="s">
        <v>23</v>
      </c>
      <c r="J8" s="4">
        <v>1.6</v>
      </c>
      <c r="L8" s="310"/>
      <c r="M8" s="76">
        <v>2847</v>
      </c>
      <c r="N8" s="76">
        <v>44780</v>
      </c>
    </row>
    <row r="9" spans="2:14" x14ac:dyDescent="0.25">
      <c r="B9" s="2" t="s">
        <v>23</v>
      </c>
      <c r="C9" s="3">
        <v>82300</v>
      </c>
      <c r="D9" s="5">
        <v>155220</v>
      </c>
      <c r="E9" s="5">
        <v>96904</v>
      </c>
      <c r="F9" s="2"/>
      <c r="G9" s="71">
        <f>E9</f>
        <v>96904</v>
      </c>
      <c r="I9" s="13" t="s">
        <v>24</v>
      </c>
      <c r="J9" s="4">
        <v>2.6</v>
      </c>
      <c r="L9" s="310"/>
      <c r="M9" s="76">
        <v>1034</v>
      </c>
      <c r="N9" s="76">
        <v>10432</v>
      </c>
    </row>
    <row r="10" spans="2:14" x14ac:dyDescent="0.25">
      <c r="B10" s="2" t="s">
        <v>24</v>
      </c>
      <c r="C10" s="3">
        <v>29377</v>
      </c>
      <c r="D10" s="5">
        <v>230280</v>
      </c>
      <c r="E10" s="5">
        <v>143763</v>
      </c>
      <c r="F10" s="2"/>
      <c r="G10" s="71">
        <f>E10</f>
        <v>143763</v>
      </c>
      <c r="I10" s="13" t="s">
        <v>50</v>
      </c>
      <c r="J10" s="4">
        <v>2.6</v>
      </c>
      <c r="L10" s="310"/>
      <c r="M10" s="76">
        <v>763</v>
      </c>
      <c r="N10" s="76">
        <v>9955</v>
      </c>
    </row>
    <row r="11" spans="2:14" x14ac:dyDescent="0.25">
      <c r="B11" s="2" t="s">
        <v>25</v>
      </c>
      <c r="C11" s="3">
        <v>19342</v>
      </c>
      <c r="D11" s="4">
        <v>59340</v>
      </c>
      <c r="E11" s="5">
        <v>35841</v>
      </c>
      <c r="F11" s="2"/>
      <c r="G11" s="71">
        <f>E11</f>
        <v>35841</v>
      </c>
      <c r="I11" s="13" t="s">
        <v>26</v>
      </c>
      <c r="J11" s="4">
        <v>2.6</v>
      </c>
      <c r="L11" s="310"/>
      <c r="M11" s="76">
        <v>605</v>
      </c>
      <c r="N11" s="76">
        <v>9173</v>
      </c>
    </row>
    <row r="12" spans="2:14" x14ac:dyDescent="0.25">
      <c r="B12" s="2" t="s">
        <v>26</v>
      </c>
      <c r="C12" s="3">
        <v>27977</v>
      </c>
      <c r="D12" s="4">
        <v>87460</v>
      </c>
      <c r="E12" s="5">
        <v>52826</v>
      </c>
      <c r="F12" s="2"/>
      <c r="G12" s="71">
        <f>E12</f>
        <v>52826</v>
      </c>
      <c r="I12" s="13" t="s">
        <v>74</v>
      </c>
      <c r="J12" s="4"/>
      <c r="L12" s="310"/>
      <c r="M12" s="76">
        <v>1138</v>
      </c>
      <c r="N12" s="76">
        <v>15376</v>
      </c>
    </row>
    <row r="13" spans="2:14" x14ac:dyDescent="0.25">
      <c r="B13" s="2" t="s">
        <v>27</v>
      </c>
      <c r="C13" s="3">
        <v>70781</v>
      </c>
      <c r="D13" s="4">
        <v>101040</v>
      </c>
      <c r="E13" s="5">
        <v>303999</v>
      </c>
      <c r="F13" s="2"/>
      <c r="G13" s="71"/>
      <c r="I13" s="13" t="s">
        <v>51</v>
      </c>
      <c r="J13" s="4">
        <v>40</v>
      </c>
      <c r="L13" s="310"/>
      <c r="M13" s="76">
        <v>1842</v>
      </c>
      <c r="N13" s="76">
        <v>28824</v>
      </c>
    </row>
    <row r="14" spans="2:14" x14ac:dyDescent="0.25">
      <c r="B14" s="2" t="s">
        <v>375</v>
      </c>
      <c r="C14" s="127">
        <f>C13/(SUM(C9:C13))%</f>
        <v>30.804214521035615</v>
      </c>
      <c r="D14" s="127">
        <f>D13/(SUM(D9:D13))%</f>
        <v>15.953516278776014</v>
      </c>
      <c r="E14" s="127">
        <f>E13/(SUM(E9:E13))%</f>
        <v>47.999867368351246</v>
      </c>
      <c r="F14" s="2"/>
      <c r="G14" s="71"/>
      <c r="I14" s="13" t="s">
        <v>75</v>
      </c>
      <c r="J14" s="4"/>
      <c r="L14" s="310"/>
      <c r="M14" s="76">
        <v>3002</v>
      </c>
      <c r="N14" s="76">
        <v>43845</v>
      </c>
    </row>
    <row r="15" spans="2:14" x14ac:dyDescent="0.25">
      <c r="B15" s="2" t="s">
        <v>28</v>
      </c>
      <c r="C15" s="6"/>
      <c r="D15" s="6"/>
      <c r="E15" s="6"/>
      <c r="F15" s="95">
        <v>0.33333333333333337</v>
      </c>
      <c r="G15" s="71">
        <f>$E$13*F15</f>
        <v>101333.00000000001</v>
      </c>
      <c r="I15" s="13" t="s">
        <v>1</v>
      </c>
      <c r="J15" s="4">
        <v>45</v>
      </c>
      <c r="L15" s="311"/>
      <c r="M15" s="76">
        <v>1257</v>
      </c>
      <c r="N15" s="76">
        <v>18994</v>
      </c>
    </row>
    <row r="16" spans="2:14" x14ac:dyDescent="0.25">
      <c r="B16" s="2" t="s">
        <v>29</v>
      </c>
      <c r="C16" s="6"/>
      <c r="D16" s="6"/>
      <c r="E16" s="6"/>
      <c r="F16" s="95">
        <v>0.16666666666666666</v>
      </c>
      <c r="G16" s="71">
        <f>$E$13*F16</f>
        <v>50666.5</v>
      </c>
      <c r="L16" s="309" t="s">
        <v>43</v>
      </c>
      <c r="M16" s="76">
        <v>5828</v>
      </c>
      <c r="N16" s="76">
        <v>105426</v>
      </c>
    </row>
    <row r="17" spans="2:14" x14ac:dyDescent="0.25">
      <c r="B17" s="2" t="s">
        <v>35</v>
      </c>
      <c r="C17" s="6"/>
      <c r="D17" s="6"/>
      <c r="E17" s="6"/>
      <c r="F17" s="95">
        <v>6.2500000000000056E-2</v>
      </c>
      <c r="G17" s="71">
        <f>$E$13*F17</f>
        <v>18999.937500000018</v>
      </c>
      <c r="L17" s="310"/>
      <c r="M17" s="76">
        <v>4852</v>
      </c>
      <c r="N17" s="76">
        <v>81661</v>
      </c>
    </row>
    <row r="18" spans="2:14" x14ac:dyDescent="0.25">
      <c r="B18" s="2" t="s">
        <v>30</v>
      </c>
      <c r="C18" s="6"/>
      <c r="D18" s="6"/>
      <c r="E18" s="6"/>
      <c r="F18" s="95">
        <v>0.10416666666666664</v>
      </c>
      <c r="G18" s="71">
        <f>$E$13*F18</f>
        <v>31666.562499999993</v>
      </c>
      <c r="L18" s="310"/>
      <c r="M18" s="76">
        <v>2423</v>
      </c>
      <c r="N18" s="76">
        <v>36452</v>
      </c>
    </row>
    <row r="19" spans="2:14" x14ac:dyDescent="0.25">
      <c r="B19" s="2" t="s">
        <v>31</v>
      </c>
      <c r="C19" s="6"/>
      <c r="D19" s="6"/>
      <c r="E19" s="6"/>
      <c r="F19" s="95">
        <v>0.33333333333332998</v>
      </c>
      <c r="G19" s="71">
        <f>$E$13*F19</f>
        <v>101332.99999999898</v>
      </c>
      <c r="L19" s="310"/>
      <c r="M19" s="76">
        <v>2730</v>
      </c>
      <c r="N19" s="76">
        <v>37217</v>
      </c>
    </row>
    <row r="20" spans="2:14" x14ac:dyDescent="0.25">
      <c r="B20" s="2" t="s">
        <v>32</v>
      </c>
      <c r="C20" s="72">
        <f>SUM(C9:C13)</f>
        <v>229777</v>
      </c>
      <c r="D20" s="72">
        <f>SUM(D8:D18)</f>
        <v>633355.95351627877</v>
      </c>
      <c r="E20" s="72">
        <f>SUM(E8:E18)</f>
        <v>633380.99986736837</v>
      </c>
      <c r="F20" s="2"/>
      <c r="G20" s="71">
        <f>SUM(G9:G19)</f>
        <v>633332.99999999895</v>
      </c>
      <c r="L20" s="310"/>
      <c r="M20" s="76">
        <v>2855</v>
      </c>
      <c r="N20" s="76">
        <v>49594</v>
      </c>
    </row>
    <row r="21" spans="2:14" x14ac:dyDescent="0.25">
      <c r="B21" s="2" t="s">
        <v>47</v>
      </c>
      <c r="C21" s="4">
        <v>6</v>
      </c>
      <c r="D21" s="4">
        <v>7</v>
      </c>
      <c r="E21" s="4">
        <v>6</v>
      </c>
      <c r="L21" s="310"/>
      <c r="M21" s="76">
        <v>1379</v>
      </c>
      <c r="N21" s="76">
        <v>16094</v>
      </c>
    </row>
    <row r="22" spans="2:14" x14ac:dyDescent="0.25">
      <c r="B22" s="2" t="s">
        <v>70</v>
      </c>
      <c r="C22" s="72">
        <f>(C21+C23)/2</f>
        <v>7</v>
      </c>
      <c r="D22" s="72">
        <f>(D21+D23)/2</f>
        <v>8.5</v>
      </c>
      <c r="E22" s="72">
        <f>(E21+E23)/2</f>
        <v>9.5</v>
      </c>
      <c r="L22" s="310"/>
      <c r="M22" s="76">
        <v>4882</v>
      </c>
      <c r="N22" s="76">
        <v>82113</v>
      </c>
    </row>
    <row r="23" spans="2:14" x14ac:dyDescent="0.25">
      <c r="B23" s="2" t="s">
        <v>46</v>
      </c>
      <c r="C23" s="4">
        <v>8</v>
      </c>
      <c r="D23" s="4">
        <v>10</v>
      </c>
      <c r="E23" s="4">
        <v>13</v>
      </c>
      <c r="L23" s="310"/>
      <c r="M23" s="76">
        <v>2554</v>
      </c>
      <c r="N23" s="76">
        <v>42397</v>
      </c>
    </row>
    <row r="24" spans="2:14" x14ac:dyDescent="0.25">
      <c r="B24" s="2" t="s">
        <v>48</v>
      </c>
      <c r="C24" s="4">
        <v>28</v>
      </c>
      <c r="D24" s="4">
        <v>14</v>
      </c>
      <c r="E24" s="4">
        <v>32</v>
      </c>
      <c r="L24" s="310"/>
      <c r="M24" s="76">
        <v>2402</v>
      </c>
      <c r="N24" s="76">
        <v>38327</v>
      </c>
    </row>
    <row r="25" spans="2:14" x14ac:dyDescent="0.25">
      <c r="B25" s="2"/>
      <c r="C25" s="4"/>
      <c r="D25" s="4"/>
      <c r="E25" s="4"/>
      <c r="L25" s="311"/>
      <c r="M25" s="76">
        <v>4545</v>
      </c>
      <c r="N25" s="76">
        <v>80848</v>
      </c>
    </row>
    <row r="26" spans="2:14" x14ac:dyDescent="0.25">
      <c r="B26" s="2" t="s">
        <v>113</v>
      </c>
      <c r="C26" s="240">
        <f>'CMP Data Input'!N37</f>
        <v>6.6469285850454349E-2</v>
      </c>
      <c r="L26" s="309" t="s">
        <v>44</v>
      </c>
      <c r="M26" s="76">
        <v>757</v>
      </c>
      <c r="N26" s="76">
        <v>8555</v>
      </c>
    </row>
    <row r="27" spans="2:14" x14ac:dyDescent="0.25">
      <c r="L27" s="310"/>
      <c r="M27" s="76">
        <v>1625</v>
      </c>
      <c r="N27" s="76">
        <v>21075</v>
      </c>
    </row>
    <row r="28" spans="2:14" ht="47.25" customHeight="1" x14ac:dyDescent="0.3">
      <c r="B28" s="302" t="s">
        <v>294</v>
      </c>
      <c r="C28" s="302"/>
      <c r="D28" s="302"/>
      <c r="E28" s="302"/>
      <c r="F28" s="302"/>
      <c r="G28" s="302"/>
      <c r="H28" s="302"/>
      <c r="L28" s="310"/>
      <c r="M28" s="76">
        <v>1225</v>
      </c>
      <c r="N28" s="76">
        <v>21457</v>
      </c>
    </row>
    <row r="29" spans="2:14" ht="63" x14ac:dyDescent="0.25">
      <c r="B29" s="90" t="s">
        <v>15</v>
      </c>
      <c r="C29" s="90" t="s">
        <v>57</v>
      </c>
      <c r="D29" s="90" t="s">
        <v>16</v>
      </c>
      <c r="E29" s="90">
        <v>2016</v>
      </c>
      <c r="F29" s="90">
        <v>2021</v>
      </c>
      <c r="G29" s="90">
        <v>2031</v>
      </c>
      <c r="H29" s="92" t="s">
        <v>63</v>
      </c>
      <c r="L29" s="310"/>
      <c r="M29" s="76">
        <v>3783</v>
      </c>
      <c r="N29" s="76">
        <v>60510</v>
      </c>
    </row>
    <row r="30" spans="2:14" x14ac:dyDescent="0.25">
      <c r="B30" s="13" t="s">
        <v>0</v>
      </c>
      <c r="C30" s="13" t="s">
        <v>58</v>
      </c>
      <c r="D30" s="13" t="s">
        <v>17</v>
      </c>
      <c r="E30" s="88">
        <v>450</v>
      </c>
      <c r="F30" s="88">
        <v>1000</v>
      </c>
      <c r="G30" s="88">
        <v>1000</v>
      </c>
      <c r="H30" s="76" t="s">
        <v>17</v>
      </c>
      <c r="L30" s="310"/>
      <c r="M30" s="76">
        <v>1437</v>
      </c>
      <c r="N30" s="76">
        <v>23677</v>
      </c>
    </row>
    <row r="31" spans="2:14" x14ac:dyDescent="0.25">
      <c r="B31" s="13" t="s">
        <v>1</v>
      </c>
      <c r="C31" s="13" t="s">
        <v>58</v>
      </c>
      <c r="D31" s="13" t="s">
        <v>56</v>
      </c>
      <c r="E31" s="88">
        <v>93</v>
      </c>
      <c r="F31" s="88">
        <v>65</v>
      </c>
      <c r="G31" s="88">
        <v>7</v>
      </c>
      <c r="H31" s="76" t="s">
        <v>62</v>
      </c>
      <c r="L31" s="310"/>
      <c r="M31" s="76">
        <v>1540</v>
      </c>
      <c r="N31" s="76">
        <v>25352</v>
      </c>
    </row>
    <row r="32" spans="2:14" x14ac:dyDescent="0.25">
      <c r="B32" s="13" t="s">
        <v>2</v>
      </c>
      <c r="C32" s="13" t="s">
        <v>58</v>
      </c>
      <c r="D32" s="13" t="s">
        <v>56</v>
      </c>
      <c r="E32" s="88">
        <v>29</v>
      </c>
      <c r="F32" s="88">
        <v>15</v>
      </c>
      <c r="G32" s="88">
        <v>16</v>
      </c>
      <c r="H32" s="76" t="s">
        <v>62</v>
      </c>
      <c r="L32" s="310"/>
      <c r="M32" s="76">
        <v>3551</v>
      </c>
      <c r="N32" s="76">
        <v>61613</v>
      </c>
    </row>
    <row r="33" spans="2:14" x14ac:dyDescent="0.25">
      <c r="B33" s="13" t="s">
        <v>3</v>
      </c>
      <c r="C33" s="13" t="s">
        <v>58</v>
      </c>
      <c r="D33" s="13" t="s">
        <v>17</v>
      </c>
      <c r="E33" s="88">
        <v>5</v>
      </c>
      <c r="F33" s="88">
        <v>6</v>
      </c>
      <c r="G33" s="88"/>
      <c r="H33" s="76" t="s">
        <v>17</v>
      </c>
      <c r="L33" s="310"/>
      <c r="M33" s="76">
        <v>3286</v>
      </c>
      <c r="N33" s="76">
        <v>55105</v>
      </c>
    </row>
    <row r="34" spans="2:14" x14ac:dyDescent="0.25">
      <c r="B34" s="13" t="s">
        <v>4</v>
      </c>
      <c r="C34" s="13" t="s">
        <v>58</v>
      </c>
      <c r="D34" s="13" t="s">
        <v>56</v>
      </c>
      <c r="E34" s="88">
        <v>0</v>
      </c>
      <c r="F34" s="88">
        <v>80</v>
      </c>
      <c r="G34" s="88">
        <v>80</v>
      </c>
      <c r="H34" s="76" t="s">
        <v>62</v>
      </c>
      <c r="L34" s="310"/>
      <c r="M34" s="76">
        <v>1480</v>
      </c>
      <c r="N34" s="76">
        <v>17506</v>
      </c>
    </row>
    <row r="35" spans="2:14" x14ac:dyDescent="0.25">
      <c r="B35" s="13" t="s">
        <v>5</v>
      </c>
      <c r="C35" s="13" t="s">
        <v>61</v>
      </c>
      <c r="D35" s="13" t="s">
        <v>17</v>
      </c>
      <c r="E35" s="88">
        <v>1</v>
      </c>
      <c r="F35" s="88">
        <v>2</v>
      </c>
      <c r="G35" s="88">
        <v>1</v>
      </c>
      <c r="H35" s="76" t="s">
        <v>17</v>
      </c>
      <c r="L35" s="311"/>
      <c r="M35" s="76">
        <v>11207</v>
      </c>
      <c r="N35" s="76">
        <v>116735</v>
      </c>
    </row>
    <row r="36" spans="2:14" x14ac:dyDescent="0.25">
      <c r="B36" s="13" t="s">
        <v>6</v>
      </c>
      <c r="C36" s="13" t="s">
        <v>61</v>
      </c>
      <c r="D36" s="13" t="s">
        <v>17</v>
      </c>
      <c r="E36" s="88">
        <v>10</v>
      </c>
      <c r="F36" s="88"/>
      <c r="G36" s="88"/>
      <c r="H36" s="76" t="s">
        <v>17</v>
      </c>
      <c r="L36" s="67" t="s">
        <v>32</v>
      </c>
      <c r="M36" s="72">
        <v>79497</v>
      </c>
      <c r="N36" s="72">
        <v>1195996</v>
      </c>
    </row>
    <row r="37" spans="2:14" x14ac:dyDescent="0.25">
      <c r="B37" s="13" t="s">
        <v>7</v>
      </c>
      <c r="C37" s="13" t="s">
        <v>61</v>
      </c>
      <c r="D37" s="13" t="s">
        <v>17</v>
      </c>
      <c r="E37" s="88">
        <v>10</v>
      </c>
      <c r="F37" s="88"/>
      <c r="G37" s="88"/>
      <c r="H37" s="76" t="s">
        <v>17</v>
      </c>
      <c r="L37" s="307" t="s">
        <v>106</v>
      </c>
      <c r="M37" s="308"/>
      <c r="N37" s="93">
        <f>M36/N36</f>
        <v>6.6469285850454349E-2</v>
      </c>
    </row>
    <row r="38" spans="2:14" x14ac:dyDescent="0.25">
      <c r="B38" s="13" t="s">
        <v>8</v>
      </c>
      <c r="C38" s="13" t="s">
        <v>61</v>
      </c>
      <c r="D38" s="13" t="s">
        <v>17</v>
      </c>
      <c r="E38" s="88">
        <v>13</v>
      </c>
      <c r="F38" s="88"/>
      <c r="G38" s="88"/>
      <c r="H38" s="76" t="s">
        <v>17</v>
      </c>
    </row>
    <row r="39" spans="2:14" x14ac:dyDescent="0.25">
      <c r="B39" s="13" t="s">
        <v>9</v>
      </c>
      <c r="C39" s="13" t="s">
        <v>58</v>
      </c>
      <c r="D39" s="13" t="s">
        <v>17</v>
      </c>
      <c r="E39" s="88">
        <v>60</v>
      </c>
      <c r="F39" s="88">
        <v>60</v>
      </c>
      <c r="G39" s="88">
        <v>60</v>
      </c>
      <c r="H39" s="76" t="s">
        <v>17</v>
      </c>
    </row>
    <row r="40" spans="2:14" ht="18.75" customHeight="1" x14ac:dyDescent="0.25">
      <c r="B40" s="13" t="s">
        <v>227</v>
      </c>
      <c r="C40" s="13" t="s">
        <v>61</v>
      </c>
      <c r="D40" s="13" t="s">
        <v>56</v>
      </c>
      <c r="E40" s="88">
        <v>50</v>
      </c>
      <c r="F40" s="88">
        <v>50</v>
      </c>
      <c r="G40" s="88">
        <v>44</v>
      </c>
      <c r="H40" s="76" t="s">
        <v>62</v>
      </c>
    </row>
    <row r="41" spans="2:14" x14ac:dyDescent="0.25">
      <c r="B41" s="13" t="s">
        <v>10</v>
      </c>
      <c r="C41" s="13" t="s">
        <v>58</v>
      </c>
      <c r="D41" s="13" t="s">
        <v>56</v>
      </c>
      <c r="E41" s="88">
        <v>200</v>
      </c>
      <c r="F41" s="88"/>
      <c r="G41" s="88"/>
      <c r="H41" s="76" t="s">
        <v>62</v>
      </c>
    </row>
    <row r="42" spans="2:14" x14ac:dyDescent="0.25">
      <c r="B42" s="13" t="s">
        <v>11</v>
      </c>
      <c r="C42" s="13" t="s">
        <v>61</v>
      </c>
      <c r="D42" s="13" t="s">
        <v>56</v>
      </c>
      <c r="E42" s="88">
        <v>100</v>
      </c>
      <c r="F42" s="88">
        <v>100</v>
      </c>
      <c r="G42" s="88">
        <v>30</v>
      </c>
      <c r="H42" s="76" t="s">
        <v>62</v>
      </c>
    </row>
    <row r="43" spans="2:14" x14ac:dyDescent="0.25">
      <c r="B43" s="13" t="s">
        <v>12</v>
      </c>
      <c r="C43" s="13" t="s">
        <v>58</v>
      </c>
      <c r="D43" s="13" t="s">
        <v>17</v>
      </c>
      <c r="E43" s="88">
        <v>2</v>
      </c>
      <c r="F43" s="88">
        <v>2</v>
      </c>
      <c r="G43" s="88">
        <v>1</v>
      </c>
      <c r="H43" s="76" t="s">
        <v>17</v>
      </c>
    </row>
    <row r="44" spans="2:14" x14ac:dyDescent="0.25">
      <c r="B44" s="13" t="s">
        <v>13</v>
      </c>
      <c r="C44" s="13" t="s">
        <v>58</v>
      </c>
      <c r="D44" s="13" t="s">
        <v>56</v>
      </c>
      <c r="E44" s="88">
        <v>19</v>
      </c>
      <c r="F44" s="88">
        <v>21</v>
      </c>
      <c r="G44" s="88">
        <v>10</v>
      </c>
      <c r="H44" s="76" t="s">
        <v>62</v>
      </c>
    </row>
    <row r="45" spans="2:14" x14ac:dyDescent="0.25">
      <c r="B45" s="13" t="s">
        <v>14</v>
      </c>
      <c r="C45" s="13" t="s">
        <v>58</v>
      </c>
      <c r="D45" s="13" t="s">
        <v>17</v>
      </c>
      <c r="E45" s="88"/>
      <c r="F45" s="88">
        <v>5</v>
      </c>
      <c r="G45" s="88">
        <v>6</v>
      </c>
      <c r="H45" s="76" t="s">
        <v>17</v>
      </c>
    </row>
    <row r="46" spans="2:14" x14ac:dyDescent="0.25">
      <c r="B46" s="13" t="s">
        <v>228</v>
      </c>
      <c r="C46" s="13" t="s">
        <v>58</v>
      </c>
      <c r="D46" s="13" t="s">
        <v>56</v>
      </c>
      <c r="E46" s="88">
        <v>30</v>
      </c>
      <c r="F46" s="88">
        <v>30</v>
      </c>
      <c r="G46" s="88">
        <v>0</v>
      </c>
      <c r="H46" s="76" t="s">
        <v>62</v>
      </c>
      <c r="I46" s="7"/>
    </row>
    <row r="47" spans="2:14" x14ac:dyDescent="0.25">
      <c r="B47" s="13" t="s">
        <v>229</v>
      </c>
      <c r="C47" s="13" t="s">
        <v>58</v>
      </c>
      <c r="D47" s="13" t="s">
        <v>56</v>
      </c>
      <c r="E47" s="88">
        <v>0</v>
      </c>
      <c r="F47" s="88">
        <v>0</v>
      </c>
      <c r="G47" s="88">
        <v>50</v>
      </c>
      <c r="H47" s="76" t="s">
        <v>17</v>
      </c>
      <c r="I47" s="7"/>
    </row>
    <row r="48" spans="2:14" x14ac:dyDescent="0.25">
      <c r="B48" s="7"/>
      <c r="I48" s="7"/>
    </row>
    <row r="49" spans="2:9" x14ac:dyDescent="0.25">
      <c r="B49" s="7"/>
      <c r="I49" s="7"/>
    </row>
    <row r="50" spans="2:9" x14ac:dyDescent="0.25">
      <c r="B50" s="7"/>
      <c r="I50" s="7"/>
    </row>
    <row r="51" spans="2:9" x14ac:dyDescent="0.25">
      <c r="B51" s="7"/>
      <c r="F51" s="48"/>
      <c r="I51" s="7"/>
    </row>
    <row r="52" spans="2:9" x14ac:dyDescent="0.25">
      <c r="B52" s="7"/>
      <c r="F52" s="48"/>
      <c r="I52" s="7"/>
    </row>
    <row r="53" spans="2:9" x14ac:dyDescent="0.25">
      <c r="B53" s="7"/>
      <c r="I53" s="7"/>
    </row>
    <row r="54" spans="2:9" x14ac:dyDescent="0.25">
      <c r="B54" s="7"/>
      <c r="I54" s="7"/>
    </row>
    <row r="55" spans="2:9" x14ac:dyDescent="0.25">
      <c r="B55" s="7"/>
    </row>
    <row r="56" spans="2:9" x14ac:dyDescent="0.25">
      <c r="B56" s="7"/>
    </row>
    <row r="57" spans="2:9" x14ac:dyDescent="0.25">
      <c r="B57" s="7"/>
    </row>
    <row r="58" spans="2:9" x14ac:dyDescent="0.25">
      <c r="B58" s="7"/>
    </row>
    <row r="59" spans="2:9" x14ac:dyDescent="0.25">
      <c r="B59" s="7"/>
    </row>
    <row r="72" spans="2:2" x14ac:dyDescent="0.25">
      <c r="B72" s="7"/>
    </row>
  </sheetData>
  <mergeCells count="9">
    <mergeCell ref="B28:H28"/>
    <mergeCell ref="I6:J7"/>
    <mergeCell ref="C6:G6"/>
    <mergeCell ref="B4:G4"/>
    <mergeCell ref="L37:M37"/>
    <mergeCell ref="L4:N4"/>
    <mergeCell ref="L6:L15"/>
    <mergeCell ref="L16:L25"/>
    <mergeCell ref="L26:L35"/>
  </mergeCell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4:H23"/>
  <sheetViews>
    <sheetView workbookViewId="0">
      <selection activeCell="C24" sqref="C24"/>
    </sheetView>
  </sheetViews>
  <sheetFormatPr defaultRowHeight="15" x14ac:dyDescent="0.25"/>
  <cols>
    <col min="1" max="2" width="9.140625" style="1"/>
    <col min="3" max="3" width="22.42578125" style="1" customWidth="1"/>
    <col min="4" max="4" width="28.140625" style="1" bestFit="1" customWidth="1"/>
    <col min="5" max="5" width="30" style="1" customWidth="1"/>
    <col min="6" max="6" width="12" style="1" customWidth="1"/>
    <col min="7" max="7" width="18.42578125" style="1" customWidth="1"/>
    <col min="8" max="8" width="18.5703125" style="1" customWidth="1"/>
    <col min="9" max="9" width="14.140625" style="1" customWidth="1"/>
    <col min="10" max="16384" width="9.140625" style="1"/>
  </cols>
  <sheetData>
    <row r="4" spans="2:8" x14ac:dyDescent="0.25">
      <c r="B4" s="312" t="s">
        <v>159</v>
      </c>
      <c r="C4" s="313"/>
      <c r="D4" s="313"/>
      <c r="E4" s="314"/>
      <c r="F4" s="56"/>
      <c r="G4" s="56"/>
      <c r="H4" s="56"/>
    </row>
    <row r="5" spans="2:8" x14ac:dyDescent="0.25">
      <c r="B5" s="55" t="s">
        <v>36</v>
      </c>
      <c r="C5" s="55" t="s">
        <v>152</v>
      </c>
      <c r="D5" s="55" t="s">
        <v>161</v>
      </c>
      <c r="E5" s="55" t="s">
        <v>160</v>
      </c>
    </row>
    <row r="6" spans="2:8" x14ac:dyDescent="0.25">
      <c r="B6" s="6">
        <v>1</v>
      </c>
      <c r="C6" s="6" t="s">
        <v>153</v>
      </c>
      <c r="D6" s="6">
        <v>0.88</v>
      </c>
      <c r="E6" s="6">
        <v>0.46</v>
      </c>
    </row>
    <row r="7" spans="2:8" x14ac:dyDescent="0.25">
      <c r="B7" s="6">
        <v>2</v>
      </c>
      <c r="C7" s="6" t="s">
        <v>154</v>
      </c>
      <c r="D7" s="6">
        <v>0.99</v>
      </c>
      <c r="E7" s="6">
        <v>0.5</v>
      </c>
    </row>
    <row r="8" spans="2:8" x14ac:dyDescent="0.25">
      <c r="B8" s="6">
        <v>3</v>
      </c>
      <c r="C8" s="6" t="s">
        <v>155</v>
      </c>
      <c r="D8" s="6">
        <v>0.73</v>
      </c>
      <c r="E8" s="6">
        <v>0.33</v>
      </c>
    </row>
    <row r="9" spans="2:8" x14ac:dyDescent="0.25">
      <c r="B9" s="6">
        <v>4</v>
      </c>
      <c r="C9" s="6" t="s">
        <v>156</v>
      </c>
      <c r="D9" s="6">
        <v>1.05</v>
      </c>
      <c r="E9" s="6">
        <v>0.75</v>
      </c>
    </row>
    <row r="10" spans="2:8" x14ac:dyDescent="0.25">
      <c r="B10" s="6">
        <v>5</v>
      </c>
      <c r="C10" s="6" t="s">
        <v>157</v>
      </c>
      <c r="D10" s="6">
        <v>0.77</v>
      </c>
      <c r="E10" s="6">
        <v>0.55000000000000004</v>
      </c>
    </row>
    <row r="11" spans="2:8" x14ac:dyDescent="0.25">
      <c r="B11" s="6">
        <v>6</v>
      </c>
      <c r="C11" s="6"/>
      <c r="D11" s="6"/>
      <c r="E11" s="6"/>
    </row>
    <row r="12" spans="2:8" x14ac:dyDescent="0.25">
      <c r="B12" s="6">
        <v>7</v>
      </c>
      <c r="C12" s="6"/>
      <c r="D12" s="6"/>
      <c r="E12" s="6"/>
    </row>
    <row r="13" spans="2:8" x14ac:dyDescent="0.25">
      <c r="B13" s="6">
        <v>8</v>
      </c>
      <c r="C13" s="6"/>
      <c r="D13" s="6"/>
      <c r="E13" s="6"/>
    </row>
    <row r="14" spans="2:8" x14ac:dyDescent="0.25">
      <c r="B14" s="6">
        <v>9</v>
      </c>
      <c r="C14" s="6"/>
      <c r="D14" s="6"/>
      <c r="E14" s="6"/>
    </row>
    <row r="15" spans="2:8" x14ac:dyDescent="0.25">
      <c r="B15" s="6">
        <v>10</v>
      </c>
      <c r="C15" s="6"/>
      <c r="D15" s="6"/>
      <c r="E15" s="6"/>
    </row>
    <row r="16" spans="2:8" x14ac:dyDescent="0.25">
      <c r="B16" s="6"/>
      <c r="C16" s="6" t="s">
        <v>158</v>
      </c>
      <c r="D16" s="6">
        <f>AVERAGE(D6:D15)</f>
        <v>0.88400000000000001</v>
      </c>
      <c r="E16" s="6">
        <f>AVERAGE(E6:E15)</f>
        <v>0.51800000000000002</v>
      </c>
    </row>
    <row r="17" spans="2:7" ht="14.25" customHeight="1" x14ac:dyDescent="0.25"/>
    <row r="18" spans="2:7" x14ac:dyDescent="0.25">
      <c r="C18" s="1" t="s">
        <v>137</v>
      </c>
      <c r="D18" s="1">
        <f>D16</f>
        <v>0.88400000000000001</v>
      </c>
      <c r="F18" s="1" t="s">
        <v>139</v>
      </c>
      <c r="G18" s="1">
        <f>E16</f>
        <v>0.51800000000000002</v>
      </c>
    </row>
    <row r="20" spans="2:7" x14ac:dyDescent="0.25">
      <c r="B20" s="1" t="s">
        <v>140</v>
      </c>
      <c r="C20" s="1" t="s">
        <v>141</v>
      </c>
      <c r="F20" s="1" t="s">
        <v>140</v>
      </c>
      <c r="G20" s="1" t="s">
        <v>141</v>
      </c>
    </row>
    <row r="21" spans="2:7" x14ac:dyDescent="0.25">
      <c r="B21" s="1" t="s">
        <v>142</v>
      </c>
      <c r="C21" s="1" t="s">
        <v>143</v>
      </c>
      <c r="F21" s="1" t="s">
        <v>144</v>
      </c>
      <c r="G21" s="1" t="s">
        <v>145</v>
      </c>
    </row>
    <row r="23" spans="2:7" x14ac:dyDescent="0.25">
      <c r="C23" s="1" t="s">
        <v>162</v>
      </c>
      <c r="D23" s="1">
        <f>(D18-G18)/D18%</f>
        <v>41.402714932126692</v>
      </c>
    </row>
  </sheetData>
  <mergeCells count="1">
    <mergeCell ref="B4:E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B2:T37"/>
  <sheetViews>
    <sheetView topLeftCell="D1" zoomScale="75" zoomScaleNormal="75" workbookViewId="0">
      <selection activeCell="E30" sqref="E30"/>
    </sheetView>
  </sheetViews>
  <sheetFormatPr defaultRowHeight="15" x14ac:dyDescent="0.25"/>
  <cols>
    <col min="1" max="1" width="9.140625" style="1"/>
    <col min="2" max="2" width="11.7109375" style="1" customWidth="1"/>
    <col min="3" max="3" width="10.42578125" style="1" customWidth="1"/>
    <col min="4" max="4" width="10" style="1" bestFit="1" customWidth="1"/>
    <col min="5" max="5" width="9.140625" style="1" customWidth="1"/>
    <col min="6" max="6" width="10.7109375" style="1" customWidth="1"/>
    <col min="7" max="7" width="14" style="1" customWidth="1"/>
    <col min="8" max="8" width="13.42578125" style="1" customWidth="1"/>
    <col min="9" max="9" width="10.85546875" style="1" customWidth="1"/>
    <col min="10" max="10" width="15" style="1" customWidth="1"/>
    <col min="11" max="11" width="9.140625" style="1"/>
    <col min="12" max="12" width="10.7109375" style="1" customWidth="1"/>
    <col min="13" max="13" width="8.85546875" style="1" customWidth="1"/>
    <col min="14" max="14" width="9.42578125" style="1" customWidth="1"/>
    <col min="15" max="17" width="9.140625" style="1"/>
    <col min="18" max="18" width="10.7109375" style="1" customWidth="1"/>
    <col min="19" max="19" width="11" style="1" customWidth="1"/>
    <col min="20" max="20" width="14.7109375" style="1" customWidth="1"/>
    <col min="21" max="16384" width="9.140625" style="1"/>
  </cols>
  <sheetData>
    <row r="2" spans="2:20" ht="18.75" x14ac:dyDescent="0.3">
      <c r="B2" s="315" t="s">
        <v>281</v>
      </c>
      <c r="C2" s="315"/>
      <c r="D2" s="315"/>
      <c r="E2" s="315"/>
      <c r="F2" s="315"/>
      <c r="G2" s="315"/>
      <c r="H2" s="315"/>
      <c r="I2" s="315"/>
      <c r="J2" s="315"/>
      <c r="L2" s="315" t="s">
        <v>282</v>
      </c>
      <c r="M2" s="315"/>
      <c r="N2" s="315"/>
      <c r="O2" s="315"/>
      <c r="P2" s="315"/>
      <c r="Q2" s="315"/>
      <c r="R2" s="315"/>
      <c r="S2" s="315"/>
      <c r="T2" s="315"/>
    </row>
    <row r="3" spans="2:20" ht="42.75" customHeight="1" x14ac:dyDescent="0.25">
      <c r="B3" s="14" t="s">
        <v>71</v>
      </c>
      <c r="C3" s="13" t="s">
        <v>52</v>
      </c>
      <c r="D3" s="14" t="s">
        <v>94</v>
      </c>
      <c r="E3" s="14" t="s">
        <v>95</v>
      </c>
      <c r="F3" s="14" t="s">
        <v>96</v>
      </c>
      <c r="G3" s="14" t="s">
        <v>97</v>
      </c>
      <c r="H3" s="14" t="s">
        <v>280</v>
      </c>
      <c r="I3" s="14" t="s">
        <v>110</v>
      </c>
      <c r="J3" s="14" t="s">
        <v>111</v>
      </c>
      <c r="L3" s="14" t="s">
        <v>71</v>
      </c>
      <c r="M3" s="14" t="s">
        <v>52</v>
      </c>
      <c r="N3" s="14" t="s">
        <v>94</v>
      </c>
      <c r="O3" s="14" t="s">
        <v>95</v>
      </c>
      <c r="P3" s="14" t="s">
        <v>96</v>
      </c>
      <c r="Q3" s="14" t="s">
        <v>97</v>
      </c>
      <c r="R3" s="14" t="s">
        <v>104</v>
      </c>
      <c r="S3" s="14" t="s">
        <v>110</v>
      </c>
      <c r="T3" s="14" t="s">
        <v>111</v>
      </c>
    </row>
    <row r="4" spans="2:20" x14ac:dyDescent="0.25">
      <c r="B4" s="14" t="s">
        <v>77</v>
      </c>
      <c r="C4" s="6" t="s">
        <v>78</v>
      </c>
      <c r="D4" s="68">
        <f>'CMP Data Input'!C9</f>
        <v>82300</v>
      </c>
      <c r="E4" s="69">
        <f>'CMP Data Input'!C21</f>
        <v>6</v>
      </c>
      <c r="F4" s="70">
        <f>'Emissions Factors'!I16</f>
        <v>15.512499999999999</v>
      </c>
      <c r="G4" s="70">
        <f>(1-E34/100)</f>
        <v>1.2405517227855629</v>
      </c>
      <c r="H4" s="70">
        <f>F4*G4</f>
        <v>19.244058599711042</v>
      </c>
      <c r="I4" s="70">
        <f>D4*E4*F4/1000000</f>
        <v>7.6600725000000001</v>
      </c>
      <c r="J4" s="70">
        <f t="shared" ref="J4:J20" si="0">D4*E4*H4/1000000</f>
        <v>9.5027161365373143</v>
      </c>
      <c r="L4" s="14" t="s">
        <v>77</v>
      </c>
      <c r="M4" s="6" t="s">
        <v>78</v>
      </c>
      <c r="N4" s="68">
        <f>'CMP Data Input'!D9*'BAU Assumptions'!F59</f>
        <v>155220</v>
      </c>
      <c r="O4" s="69">
        <f>'CMP Data Input'!D21</f>
        <v>7</v>
      </c>
      <c r="P4" s="70">
        <f>'Emissions Factors'!J16</f>
        <v>12.68778136947704</v>
      </c>
      <c r="Q4" s="70">
        <f>(1-O34/100)</f>
        <v>1.7746699606378624</v>
      </c>
      <c r="R4" s="70">
        <f t="shared" ref="R4:R20" si="1">P4*Q4</f>
        <v>22.516624463551622</v>
      </c>
      <c r="S4" s="70">
        <f t="shared" ref="S4:S20" si="2">N4*O4*P4/1000000</f>
        <v>13.785781969191582</v>
      </c>
      <c r="T4" s="70">
        <f t="shared" ref="T4:T20" si="3">N4*O4*R4/1000000</f>
        <v>24.465213144627381</v>
      </c>
    </row>
    <row r="5" spans="2:20" x14ac:dyDescent="0.25">
      <c r="B5" s="14" t="s">
        <v>82</v>
      </c>
      <c r="C5" s="6" t="s">
        <v>53</v>
      </c>
      <c r="D5" s="69">
        <f>'CMP Data Input'!$C$11*'BAU Assumptions'!E64</f>
        <v>19342</v>
      </c>
      <c r="E5" s="69">
        <f>'CMP Data Input'!C22</f>
        <v>7</v>
      </c>
      <c r="F5" s="70">
        <f>'Emissions Factors'!I17</f>
        <v>28.384615384615383</v>
      </c>
      <c r="G5" s="70">
        <f>1-E35/100</f>
        <v>1.2405517227855629</v>
      </c>
      <c r="H5" s="70">
        <f t="shared" ref="H5:H20" si="4">F5*G5</f>
        <v>35.212583515990204</v>
      </c>
      <c r="I5" s="70">
        <f t="shared" ref="I5:I20" si="5">D5*E5*F5/1000000</f>
        <v>3.843106615384615</v>
      </c>
      <c r="J5" s="70">
        <f t="shared" si="0"/>
        <v>4.7675725325639782</v>
      </c>
      <c r="L5" s="14" t="s">
        <v>82</v>
      </c>
      <c r="M5" s="6" t="s">
        <v>53</v>
      </c>
      <c r="N5" s="69">
        <f>'CMP Data Input'!$D$11*'BAU Assumptions'!F64</f>
        <v>59340</v>
      </c>
      <c r="O5" s="69">
        <f>'CMP Data Input'!$D$22</f>
        <v>8.5</v>
      </c>
      <c r="P5" s="70">
        <f>'Emissions Factors'!J17</f>
        <v>23.215973844106006</v>
      </c>
      <c r="Q5" s="70">
        <f>1-O35/100</f>
        <v>1.7746699606378624</v>
      </c>
      <c r="R5" s="70">
        <f t="shared" si="1"/>
        <v>41.200691388089247</v>
      </c>
      <c r="S5" s="70">
        <f t="shared" si="2"/>
        <v>11.709905047228629</v>
      </c>
      <c r="T5" s="70">
        <f t="shared" si="3"/>
        <v>20.781216729238334</v>
      </c>
    </row>
    <row r="6" spans="2:20" x14ac:dyDescent="0.25">
      <c r="B6" s="14" t="s">
        <v>82</v>
      </c>
      <c r="C6" s="6" t="s">
        <v>55</v>
      </c>
      <c r="D6" s="69">
        <f>'CMP Data Input'!$C$11*'BAU Assumptions'!E65</f>
        <v>0</v>
      </c>
      <c r="E6" s="69">
        <f>'CMP Data Input'!C22</f>
        <v>7</v>
      </c>
      <c r="F6" s="70">
        <f>'Emissions Factors'!I18</f>
        <v>29.884615384615383</v>
      </c>
      <c r="G6" s="70">
        <f>G5</f>
        <v>1.2405517227855629</v>
      </c>
      <c r="H6" s="70">
        <f t="shared" si="4"/>
        <v>37.073411100168549</v>
      </c>
      <c r="I6" s="70">
        <f t="shared" si="5"/>
        <v>0</v>
      </c>
      <c r="J6" s="70">
        <f t="shared" si="0"/>
        <v>0</v>
      </c>
      <c r="L6" s="14" t="s">
        <v>82</v>
      </c>
      <c r="M6" s="6" t="s">
        <v>55</v>
      </c>
      <c r="N6" s="69">
        <f>'CMP Data Input'!$D$11*'BAU Assumptions'!F65</f>
        <v>0</v>
      </c>
      <c r="O6" s="69">
        <f>'CMP Data Input'!$D$22</f>
        <v>8.5</v>
      </c>
      <c r="P6" s="70">
        <f>'Emissions Factors'!J18</f>
        <v>24.442834250501853</v>
      </c>
      <c r="Q6" s="70">
        <f>Q5</f>
        <v>1.7746699606378624</v>
      </c>
      <c r="R6" s="70">
        <f t="shared" si="1"/>
        <v>43.377963697215918</v>
      </c>
      <c r="S6" s="70">
        <f t="shared" si="2"/>
        <v>0</v>
      </c>
      <c r="T6" s="70">
        <f t="shared" si="3"/>
        <v>0</v>
      </c>
    </row>
    <row r="7" spans="2:20" x14ac:dyDescent="0.25">
      <c r="B7" s="14" t="s">
        <v>82</v>
      </c>
      <c r="C7" s="6" t="s">
        <v>81</v>
      </c>
      <c r="D7" s="69">
        <f>'CMP Data Input'!$C$11*'BAU Assumptions'!E66</f>
        <v>0</v>
      </c>
      <c r="E7" s="69">
        <f>'CMP Data Input'!C22</f>
        <v>7</v>
      </c>
      <c r="F7" s="70">
        <f>'Emissions Factors'!I19</f>
        <v>20.988461538461539</v>
      </c>
      <c r="G7" s="70">
        <f>G6</f>
        <v>1.2405517227855629</v>
      </c>
      <c r="H7" s="70">
        <f t="shared" si="4"/>
        <v>26.037272120156988</v>
      </c>
      <c r="I7" s="70">
        <f t="shared" si="5"/>
        <v>0</v>
      </c>
      <c r="J7" s="70">
        <f t="shared" si="0"/>
        <v>0</v>
      </c>
      <c r="L7" s="14" t="s">
        <v>82</v>
      </c>
      <c r="M7" s="6" t="s">
        <v>81</v>
      </c>
      <c r="N7" s="69">
        <f>'CMP Data Input'!$D$11*'BAU Assumptions'!F66</f>
        <v>0</v>
      </c>
      <c r="O7" s="69">
        <f>'CMP Data Input'!$D$22</f>
        <v>8.5</v>
      </c>
      <c r="P7" s="70">
        <f>'Emissions Factors'!J19</f>
        <v>17.166608301800338</v>
      </c>
      <c r="Q7" s="70">
        <f>Q6</f>
        <v>1.7746699606378624</v>
      </c>
      <c r="R7" s="70">
        <f t="shared" si="1"/>
        <v>30.465064079241607</v>
      </c>
      <c r="S7" s="70">
        <f t="shared" si="2"/>
        <v>0</v>
      </c>
      <c r="T7" s="70">
        <f t="shared" si="3"/>
        <v>0</v>
      </c>
    </row>
    <row r="8" spans="2:20" ht="45" x14ac:dyDescent="0.25">
      <c r="B8" s="14" t="s">
        <v>92</v>
      </c>
      <c r="C8" s="6" t="s">
        <v>54</v>
      </c>
      <c r="D8" s="69">
        <f>'CMP Data Input'!$C$11*'BAU Assumptions'!E67</f>
        <v>0</v>
      </c>
      <c r="E8" s="69">
        <f>'CMP Data Input'!C22</f>
        <v>7</v>
      </c>
      <c r="F8" s="70">
        <f>'Emissions Factors'!I20</f>
        <v>50.619230769230775</v>
      </c>
      <c r="G8" s="70">
        <f>G7</f>
        <v>1.2405517227855629</v>
      </c>
      <c r="H8" s="70">
        <f t="shared" si="4"/>
        <v>62.795773936849216</v>
      </c>
      <c r="I8" s="70">
        <f t="shared" si="5"/>
        <v>0</v>
      </c>
      <c r="J8" s="70">
        <f t="shared" si="0"/>
        <v>0</v>
      </c>
      <c r="L8" s="14" t="s">
        <v>92</v>
      </c>
      <c r="M8" s="6" t="s">
        <v>54</v>
      </c>
      <c r="N8" s="69">
        <f>'CMP Data Input'!$D$11*'BAU Assumptions'!F67</f>
        <v>0</v>
      </c>
      <c r="O8" s="69">
        <f>'CMP Data Input'!$D$22</f>
        <v>8.5</v>
      </c>
      <c r="P8" s="70">
        <f>'Emissions Factors'!J20</f>
        <v>41.401820021989053</v>
      </c>
      <c r="Q8" s="70">
        <f>Q7</f>
        <v>1.7746699606378624</v>
      </c>
      <c r="R8" s="70">
        <f t="shared" si="1"/>
        <v>73.474566308759179</v>
      </c>
      <c r="S8" s="70">
        <f t="shared" si="2"/>
        <v>0</v>
      </c>
      <c r="T8" s="70">
        <f t="shared" si="3"/>
        <v>0</v>
      </c>
    </row>
    <row r="9" spans="2:20" x14ac:dyDescent="0.25">
      <c r="B9" s="14" t="s">
        <v>24</v>
      </c>
      <c r="C9" s="6" t="s">
        <v>78</v>
      </c>
      <c r="D9" s="69">
        <f>'CMP Data Input'!$C$10*'BAU Assumptions'!E64</f>
        <v>29377</v>
      </c>
      <c r="E9" s="69">
        <f>'CMP Data Input'!C21</f>
        <v>6</v>
      </c>
      <c r="F9" s="70">
        <f>'Emissions Factors'!I21</f>
        <v>66.519230769230759</v>
      </c>
      <c r="G9" s="70">
        <f>1-E36/100</f>
        <v>1.1698649993688837</v>
      </c>
      <c r="H9" s="70">
        <f t="shared" si="4"/>
        <v>77.818519861864772</v>
      </c>
      <c r="I9" s="70">
        <f t="shared" si="5"/>
        <v>11.724812653846152</v>
      </c>
      <c r="J9" s="70">
        <f t="shared" si="0"/>
        <v>13.716447947892009</v>
      </c>
      <c r="L9" s="14" t="s">
        <v>24</v>
      </c>
      <c r="M9" s="6" t="s">
        <v>78</v>
      </c>
      <c r="N9" s="69">
        <f>'CMP Data Input'!$D$10*'BAU Assumptions'!F64</f>
        <v>230280</v>
      </c>
      <c r="O9" s="69">
        <f>'CMP Data Input'!D21</f>
        <v>7</v>
      </c>
      <c r="P9" s="70">
        <f>'Emissions Factors'!J21</f>
        <v>54.40654032978501</v>
      </c>
      <c r="Q9" s="70">
        <f>1-O36/100</f>
        <v>1.681841268594352</v>
      </c>
      <c r="R9" s="70">
        <f t="shared" si="1"/>
        <v>91.503164808075397</v>
      </c>
      <c r="S9" s="70">
        <f t="shared" si="2"/>
        <v>87.70116675000024</v>
      </c>
      <c r="T9" s="70">
        <f t="shared" si="3"/>
        <v>147.49944154402522</v>
      </c>
    </row>
    <row r="10" spans="2:20" x14ac:dyDescent="0.25">
      <c r="B10" s="14" t="s">
        <v>24</v>
      </c>
      <c r="C10" s="6" t="s">
        <v>79</v>
      </c>
      <c r="D10" s="69">
        <f>'CMP Data Input'!$C$10*'BAU Assumptions'!E65</f>
        <v>0</v>
      </c>
      <c r="E10" s="69">
        <f>'CMP Data Input'!C21</f>
        <v>6</v>
      </c>
      <c r="F10" s="70">
        <f>'Emissions Factors'!I22</f>
        <v>59.446153846153848</v>
      </c>
      <c r="G10" s="70">
        <f t="shared" ref="G10:G15" si="6">G9</f>
        <v>1.1698649993688837</v>
      </c>
      <c r="H10" s="70">
        <f t="shared" si="4"/>
        <v>69.543974731713334</v>
      </c>
      <c r="I10" s="70">
        <f t="shared" si="5"/>
        <v>0</v>
      </c>
      <c r="J10" s="70">
        <f t="shared" si="0"/>
        <v>0</v>
      </c>
      <c r="L10" s="14" t="s">
        <v>24</v>
      </c>
      <c r="M10" s="6" t="s">
        <v>79</v>
      </c>
      <c r="N10" s="69">
        <f>'CMP Data Input'!$D$10*'BAU Assumptions'!F65</f>
        <v>0</v>
      </c>
      <c r="O10" s="69">
        <f>'CMP Data Input'!D21</f>
        <v>7</v>
      </c>
      <c r="P10" s="70">
        <f>'Emissions Factors'!J22</f>
        <v>48.621421644241522</v>
      </c>
      <c r="Q10" s="70">
        <f t="shared" ref="Q10:Q15" si="7">Q9</f>
        <v>1.681841268594352</v>
      </c>
      <c r="R10" s="70">
        <f t="shared" si="1"/>
        <v>81.773513459012051</v>
      </c>
      <c r="S10" s="70">
        <f t="shared" si="2"/>
        <v>0</v>
      </c>
      <c r="T10" s="70">
        <f t="shared" si="3"/>
        <v>0</v>
      </c>
    </row>
    <row r="11" spans="2:20" x14ac:dyDescent="0.25">
      <c r="B11" s="14" t="s">
        <v>24</v>
      </c>
      <c r="C11" s="6" t="s">
        <v>55</v>
      </c>
      <c r="D11" s="69">
        <f>'CMP Data Input'!$C$10*'BAU Assumptions'!E66</f>
        <v>0</v>
      </c>
      <c r="E11" s="69">
        <f>'CMP Data Input'!C21</f>
        <v>6</v>
      </c>
      <c r="F11" s="70">
        <f>'Emissions Factors'!I23</f>
        <v>50.457692307692305</v>
      </c>
      <c r="G11" s="70">
        <f t="shared" si="6"/>
        <v>1.1698649993688837</v>
      </c>
      <c r="H11" s="70">
        <f t="shared" si="4"/>
        <v>59.028688179693788</v>
      </c>
      <c r="I11" s="70">
        <f t="shared" si="5"/>
        <v>0</v>
      </c>
      <c r="J11" s="70">
        <f t="shared" si="0"/>
        <v>0</v>
      </c>
      <c r="L11" s="14" t="s">
        <v>24</v>
      </c>
      <c r="M11" s="6" t="s">
        <v>55</v>
      </c>
      <c r="N11" s="69">
        <f>'CMP Data Input'!$D$10*'BAU Assumptions'!F66</f>
        <v>0</v>
      </c>
      <c r="O11" s="69">
        <f>'CMP Data Input'!D21</f>
        <v>7</v>
      </c>
      <c r="P11" s="70">
        <f>'Emissions Factors'!J23</f>
        <v>41.269696593607954</v>
      </c>
      <c r="Q11" s="70">
        <f t="shared" si="7"/>
        <v>1.681841268594352</v>
      </c>
      <c r="R11" s="70">
        <f t="shared" si="1"/>
        <v>69.409078873497606</v>
      </c>
      <c r="S11" s="70">
        <f t="shared" si="2"/>
        <v>0</v>
      </c>
      <c r="T11" s="70">
        <f t="shared" si="3"/>
        <v>0</v>
      </c>
    </row>
    <row r="12" spans="2:20" x14ac:dyDescent="0.25">
      <c r="B12" s="14" t="s">
        <v>26</v>
      </c>
      <c r="C12" s="6" t="s">
        <v>78</v>
      </c>
      <c r="D12" s="69">
        <f>'CMP Data Input'!$C$12*'BAU Assumptions'!E67</f>
        <v>0</v>
      </c>
      <c r="E12" s="69">
        <f>'CMP Data Input'!C21</f>
        <v>6</v>
      </c>
      <c r="F12" s="70">
        <f>'Emissions Factors'!I24</f>
        <v>66.519230769230759</v>
      </c>
      <c r="G12" s="70">
        <f t="shared" si="6"/>
        <v>1.1698649993688837</v>
      </c>
      <c r="H12" s="70">
        <f t="shared" si="4"/>
        <v>77.818519861864772</v>
      </c>
      <c r="I12" s="70">
        <f t="shared" si="5"/>
        <v>0</v>
      </c>
      <c r="J12" s="70">
        <f t="shared" si="0"/>
        <v>0</v>
      </c>
      <c r="L12" s="14" t="s">
        <v>26</v>
      </c>
      <c r="M12" s="6" t="s">
        <v>78</v>
      </c>
      <c r="N12" s="69">
        <f>'CMP Data Input'!$D$12*'BAU Assumptions'!F67</f>
        <v>0</v>
      </c>
      <c r="O12" s="69">
        <f>'CMP Data Input'!$D$22</f>
        <v>8.5</v>
      </c>
      <c r="P12" s="70">
        <f>'Emissions Factors'!J24</f>
        <v>54.40654032978501</v>
      </c>
      <c r="Q12" s="70">
        <f t="shared" si="7"/>
        <v>1.681841268594352</v>
      </c>
      <c r="R12" s="70">
        <f t="shared" si="1"/>
        <v>91.503164808075397</v>
      </c>
      <c r="S12" s="70">
        <f t="shared" si="2"/>
        <v>0</v>
      </c>
      <c r="T12" s="70">
        <f t="shared" si="3"/>
        <v>0</v>
      </c>
    </row>
    <row r="13" spans="2:20" x14ac:dyDescent="0.25">
      <c r="B13" s="14" t="s">
        <v>26</v>
      </c>
      <c r="C13" s="6" t="s">
        <v>79</v>
      </c>
      <c r="D13" s="69">
        <f>'CMP Data Input'!$C$12*'BAU Assumptions'!E68</f>
        <v>27977</v>
      </c>
      <c r="E13" s="69">
        <f>'CMP Data Input'!C21</f>
        <v>6</v>
      </c>
      <c r="F13" s="70">
        <f>'Emissions Factors'!I25</f>
        <v>57.215384615384608</v>
      </c>
      <c r="G13" s="70">
        <f t="shared" si="6"/>
        <v>1.1698649993688837</v>
      </c>
      <c r="H13" s="70">
        <f t="shared" si="4"/>
        <v>66.934275886967356</v>
      </c>
      <c r="I13" s="70">
        <f t="shared" si="5"/>
        <v>9.6042888923076912</v>
      </c>
      <c r="J13" s="70">
        <f t="shared" si="0"/>
        <v>11.235721418938116</v>
      </c>
      <c r="L13" s="14" t="s">
        <v>26</v>
      </c>
      <c r="M13" s="6" t="s">
        <v>79</v>
      </c>
      <c r="N13" s="69">
        <f>'CMP Data Input'!$D$12*'BAU Assumptions'!F68</f>
        <v>87460</v>
      </c>
      <c r="O13" s="69">
        <f>'CMP Data Input'!$D$22</f>
        <v>8.5</v>
      </c>
      <c r="P13" s="70">
        <f>'Emissions Factors'!J25</f>
        <v>46.796860014216932</v>
      </c>
      <c r="Q13" s="70">
        <f t="shared" si="7"/>
        <v>1.681841268594352</v>
      </c>
      <c r="R13" s="70">
        <f t="shared" si="1"/>
        <v>78.704890412542909</v>
      </c>
      <c r="S13" s="70">
        <f t="shared" si="2"/>
        <v>34.78925370316901</v>
      </c>
      <c r="T13" s="70">
        <f t="shared" si="3"/>
        <v>58.510002581588523</v>
      </c>
    </row>
    <row r="14" spans="2:20" x14ac:dyDescent="0.25">
      <c r="B14" s="14" t="s">
        <v>80</v>
      </c>
      <c r="C14" s="6" t="s">
        <v>55</v>
      </c>
      <c r="D14" s="69">
        <f>'CMP Data Input'!$C$12*'BAU Assumptions'!E69</f>
        <v>0</v>
      </c>
      <c r="E14" s="69">
        <f>'CMP Data Input'!C21</f>
        <v>6</v>
      </c>
      <c r="F14" s="70">
        <f>'Emissions Factors'!I26</f>
        <v>50.457692307692305</v>
      </c>
      <c r="G14" s="70">
        <f t="shared" si="6"/>
        <v>1.1698649993688837</v>
      </c>
      <c r="H14" s="70">
        <f t="shared" si="4"/>
        <v>59.028688179693788</v>
      </c>
      <c r="I14" s="70">
        <f t="shared" si="5"/>
        <v>0</v>
      </c>
      <c r="J14" s="70">
        <f t="shared" si="0"/>
        <v>0</v>
      </c>
      <c r="L14" s="14" t="s">
        <v>80</v>
      </c>
      <c r="M14" s="6" t="s">
        <v>55</v>
      </c>
      <c r="N14" s="69">
        <f>'CMP Data Input'!$D$12*'BAU Assumptions'!F69</f>
        <v>0</v>
      </c>
      <c r="O14" s="69">
        <f>'CMP Data Input'!$D$22</f>
        <v>8.5</v>
      </c>
      <c r="P14" s="70">
        <f>'Emissions Factors'!J26</f>
        <v>41.269696593607954</v>
      </c>
      <c r="Q14" s="70">
        <f t="shared" si="7"/>
        <v>1.681841268594352</v>
      </c>
      <c r="R14" s="70">
        <f t="shared" si="1"/>
        <v>69.409078873497606</v>
      </c>
      <c r="S14" s="70">
        <f t="shared" si="2"/>
        <v>0</v>
      </c>
      <c r="T14" s="70">
        <f t="shared" si="3"/>
        <v>0</v>
      </c>
    </row>
    <row r="15" spans="2:20" x14ac:dyDescent="0.25">
      <c r="B15" s="14" t="s">
        <v>26</v>
      </c>
      <c r="C15" s="6" t="s">
        <v>81</v>
      </c>
      <c r="D15" s="69">
        <f>'CMP Data Input'!$C$12*'BAU Assumptions'!E70</f>
        <v>0</v>
      </c>
      <c r="E15" s="69">
        <f>'CMP Data Input'!C21</f>
        <v>6</v>
      </c>
      <c r="F15" s="70">
        <f>'Emissions Factors'!I27</f>
        <v>53.86538461538462</v>
      </c>
      <c r="G15" s="70">
        <f t="shared" si="6"/>
        <v>1.1698649993688837</v>
      </c>
      <c r="H15" s="70">
        <f t="shared" si="4"/>
        <v>63.015228139081607</v>
      </c>
      <c r="I15" s="70">
        <f t="shared" si="5"/>
        <v>0</v>
      </c>
      <c r="J15" s="70">
        <f t="shared" si="0"/>
        <v>0</v>
      </c>
      <c r="L15" s="14" t="s">
        <v>26</v>
      </c>
      <c r="M15" s="6" t="s">
        <v>81</v>
      </c>
      <c r="N15" s="69">
        <f>'CMP Data Input'!$D$12*'BAU Assumptions'!F70</f>
        <v>0</v>
      </c>
      <c r="O15" s="69">
        <f>'CMP Data Input'!$D$22</f>
        <v>8.5</v>
      </c>
      <c r="P15" s="70">
        <f>'Emissions Factors'!J27</f>
        <v>44.056871773266217</v>
      </c>
      <c r="Q15" s="70">
        <f t="shared" si="7"/>
        <v>1.681841268594352</v>
      </c>
      <c r="R15" s="70">
        <f t="shared" si="1"/>
        <v>74.096665113448751</v>
      </c>
      <c r="S15" s="70">
        <f t="shared" si="2"/>
        <v>0</v>
      </c>
      <c r="T15" s="70">
        <f t="shared" si="3"/>
        <v>0</v>
      </c>
    </row>
    <row r="16" spans="2:20" x14ac:dyDescent="0.25">
      <c r="B16" s="14" t="s">
        <v>76</v>
      </c>
      <c r="C16" s="6" t="s">
        <v>54</v>
      </c>
      <c r="D16" s="69">
        <f>'CMP Data Input'!$C$13*'BAU Assumptions'!E71</f>
        <v>0</v>
      </c>
      <c r="E16" s="69">
        <f>'CMP Data Input'!$C$23</f>
        <v>8</v>
      </c>
      <c r="F16" s="70">
        <f>'Emissions Factors'!I28</f>
        <v>20.0625</v>
      </c>
      <c r="G16" s="70">
        <f>1-E37/100</f>
        <v>1.3298864749673533</v>
      </c>
      <c r="H16" s="70">
        <f t="shared" si="4"/>
        <v>26.680847404032527</v>
      </c>
      <c r="I16" s="70">
        <f t="shared" si="5"/>
        <v>0</v>
      </c>
      <c r="J16" s="70">
        <f t="shared" si="0"/>
        <v>0</v>
      </c>
      <c r="L16" s="14" t="s">
        <v>76</v>
      </c>
      <c r="M16" s="6" t="s">
        <v>54</v>
      </c>
      <c r="N16" s="69">
        <f>'CMP Data Input'!$D$13*'BAU Assumptions'!F71</f>
        <v>0</v>
      </c>
      <c r="O16" s="69">
        <f>'CMP Data Input'!D23</f>
        <v>10</v>
      </c>
      <c r="P16" s="70">
        <f>'Emissions Factors'!J28</f>
        <v>16.409257935544439</v>
      </c>
      <c r="Q16" s="70">
        <f>1-O37/100</f>
        <v>1.681841268594352</v>
      </c>
      <c r="R16" s="70">
        <f t="shared" si="1"/>
        <v>27.597767183007996</v>
      </c>
      <c r="S16" s="70">
        <f t="shared" si="2"/>
        <v>0</v>
      </c>
      <c r="T16" s="70">
        <f t="shared" si="3"/>
        <v>0</v>
      </c>
    </row>
    <row r="17" spans="2:20" x14ac:dyDescent="0.25">
      <c r="B17" s="14" t="s">
        <v>38</v>
      </c>
      <c r="C17" s="6" t="s">
        <v>54</v>
      </c>
      <c r="D17" s="69">
        <f>'CMP Data Input'!$C$13*'BAU Assumptions'!E72</f>
        <v>70781</v>
      </c>
      <c r="E17" s="69">
        <f>'CMP Data Input'!$C$23</f>
        <v>8</v>
      </c>
      <c r="F17" s="70">
        <f>'Emissions Factors'!I29</f>
        <v>13.721111111111112</v>
      </c>
      <c r="G17" s="70">
        <f>G16</f>
        <v>1.3298864749673533</v>
      </c>
      <c r="H17" s="70">
        <f t="shared" si="4"/>
        <v>18.247520088190942</v>
      </c>
      <c r="I17" s="70">
        <f t="shared" si="5"/>
        <v>7.7695517244444456</v>
      </c>
      <c r="J17" s="70">
        <f t="shared" si="0"/>
        <v>10.332621754897945</v>
      </c>
      <c r="L17" s="14" t="s">
        <v>38</v>
      </c>
      <c r="M17" s="6" t="s">
        <v>54</v>
      </c>
      <c r="N17" s="69">
        <f>'CMP Data Input'!$D$13*'BAU Assumptions'!F72</f>
        <v>101040</v>
      </c>
      <c r="O17" s="69">
        <f>'CMP Data Input'!D23</f>
        <v>10</v>
      </c>
      <c r="P17" s="70">
        <f>'Emissions Factors'!J29</f>
        <v>11.222591969320225</v>
      </c>
      <c r="Q17" s="70">
        <f>Q16</f>
        <v>1.681841268594352</v>
      </c>
      <c r="R17" s="70">
        <f t="shared" si="1"/>
        <v>18.874618314598315</v>
      </c>
      <c r="S17" s="70">
        <f t="shared" si="2"/>
        <v>11.339306925801155</v>
      </c>
      <c r="T17" s="70">
        <f t="shared" si="3"/>
        <v>19.07091434507014</v>
      </c>
    </row>
    <row r="18" spans="2:20" x14ac:dyDescent="0.25">
      <c r="B18" s="14" t="s">
        <v>38</v>
      </c>
      <c r="C18" s="6" t="s">
        <v>55</v>
      </c>
      <c r="D18" s="69">
        <f>'CMP Data Input'!$C$13*'BAU Assumptions'!E73</f>
        <v>0</v>
      </c>
      <c r="E18" s="69">
        <f>'CMP Data Input'!$C$23</f>
        <v>8</v>
      </c>
      <c r="F18" s="70">
        <f>'Emissions Factors'!I30</f>
        <v>17.922222222222221</v>
      </c>
      <c r="G18" s="70">
        <f>G17</f>
        <v>1.3298864749673533</v>
      </c>
      <c r="H18" s="70">
        <f t="shared" si="4"/>
        <v>23.834520934692677</v>
      </c>
      <c r="I18" s="70">
        <f t="shared" si="5"/>
        <v>0</v>
      </c>
      <c r="J18" s="70">
        <f t="shared" si="0"/>
        <v>0</v>
      </c>
      <c r="L18" s="14" t="s">
        <v>38</v>
      </c>
      <c r="M18" s="6" t="s">
        <v>55</v>
      </c>
      <c r="N18" s="69">
        <f>'CMP Data Input'!$D$13*'BAU Assumptions'!F73</f>
        <v>0</v>
      </c>
      <c r="O18" s="69">
        <f>'CMP Data Input'!D23</f>
        <v>10</v>
      </c>
      <c r="P18" s="70">
        <f>'Emissions Factors'!J30</f>
        <v>14.658709892714812</v>
      </c>
      <c r="Q18" s="70">
        <f>Q17</f>
        <v>1.681841268594352</v>
      </c>
      <c r="R18" s="70">
        <f t="shared" si="1"/>
        <v>24.653623241920059</v>
      </c>
      <c r="S18" s="70">
        <f t="shared" si="2"/>
        <v>0</v>
      </c>
      <c r="T18" s="70">
        <f t="shared" si="3"/>
        <v>0</v>
      </c>
    </row>
    <row r="19" spans="2:20" x14ac:dyDescent="0.25">
      <c r="B19" s="14" t="s">
        <v>1</v>
      </c>
      <c r="C19" s="6" t="s">
        <v>54</v>
      </c>
      <c r="D19" s="69">
        <f>'CMP Data Input'!$C$13*'BAU Assumptions'!E74</f>
        <v>0</v>
      </c>
      <c r="E19" s="69">
        <f>'CMP Data Input'!$C$23</f>
        <v>8</v>
      </c>
      <c r="F19" s="70">
        <f>'Emissions Factors'!I31</f>
        <v>13.721111111111112</v>
      </c>
      <c r="G19" s="70">
        <f>G18</f>
        <v>1.3298864749673533</v>
      </c>
      <c r="H19" s="70">
        <f t="shared" si="4"/>
        <v>18.247520088190942</v>
      </c>
      <c r="I19" s="70">
        <f t="shared" si="5"/>
        <v>0</v>
      </c>
      <c r="J19" s="70">
        <f t="shared" si="0"/>
        <v>0</v>
      </c>
      <c r="L19" s="14" t="s">
        <v>1</v>
      </c>
      <c r="M19" s="6" t="s">
        <v>54</v>
      </c>
      <c r="N19" s="69">
        <f>'CMP Data Input'!$D$13*'BAU Assumptions'!F74</f>
        <v>0</v>
      </c>
      <c r="O19" s="69">
        <f>'CMP Data Input'!D23</f>
        <v>10</v>
      </c>
      <c r="P19" s="70">
        <f>'Emissions Factors'!J31</f>
        <v>11.222591969320225</v>
      </c>
      <c r="Q19" s="70">
        <f>Q18</f>
        <v>1.681841268594352</v>
      </c>
      <c r="R19" s="70">
        <f t="shared" si="1"/>
        <v>18.874618314598315</v>
      </c>
      <c r="S19" s="70">
        <f t="shared" si="2"/>
        <v>0</v>
      </c>
      <c r="T19" s="70">
        <f t="shared" si="3"/>
        <v>0</v>
      </c>
    </row>
    <row r="20" spans="2:20" x14ac:dyDescent="0.25">
      <c r="B20" s="14" t="s">
        <v>1</v>
      </c>
      <c r="C20" s="6" t="s">
        <v>55</v>
      </c>
      <c r="D20" s="69">
        <f>'CMP Data Input'!$C$13*'BAU Assumptions'!E75</f>
        <v>0</v>
      </c>
      <c r="E20" s="69">
        <f>'CMP Data Input'!$C$23</f>
        <v>8</v>
      </c>
      <c r="F20" s="70">
        <f>'Emissions Factors'!I32</f>
        <v>17.922222222222221</v>
      </c>
      <c r="G20" s="70">
        <f>G19</f>
        <v>1.3298864749673533</v>
      </c>
      <c r="H20" s="70">
        <f t="shared" si="4"/>
        <v>23.834520934692677</v>
      </c>
      <c r="I20" s="70">
        <f t="shared" si="5"/>
        <v>0</v>
      </c>
      <c r="J20" s="70">
        <f t="shared" si="0"/>
        <v>0</v>
      </c>
      <c r="L20" s="14" t="s">
        <v>1</v>
      </c>
      <c r="M20" s="6" t="s">
        <v>55</v>
      </c>
      <c r="N20" s="69">
        <f>'CMP Data Input'!$D$13*'BAU Assumptions'!F75</f>
        <v>0</v>
      </c>
      <c r="O20" s="69">
        <f>'CMP Data Input'!D23</f>
        <v>10</v>
      </c>
      <c r="P20" s="70">
        <f>'Emissions Factors'!J32</f>
        <v>14.658709892714812</v>
      </c>
      <c r="Q20" s="70">
        <f>Q19</f>
        <v>1.681841268594352</v>
      </c>
      <c r="R20" s="70">
        <f t="shared" si="1"/>
        <v>24.653623241920059</v>
      </c>
      <c r="S20" s="70">
        <f t="shared" si="2"/>
        <v>0</v>
      </c>
      <c r="T20" s="70">
        <f t="shared" si="3"/>
        <v>0</v>
      </c>
    </row>
    <row r="21" spans="2:20" x14ac:dyDescent="0.25">
      <c r="B21" s="14" t="s">
        <v>2</v>
      </c>
      <c r="C21" s="6" t="s">
        <v>67</v>
      </c>
      <c r="D21" s="69"/>
      <c r="E21" s="69"/>
      <c r="F21" s="70"/>
      <c r="G21" s="70"/>
      <c r="H21" s="70"/>
      <c r="I21" s="70"/>
      <c r="J21" s="70"/>
      <c r="L21" s="14" t="s">
        <v>2</v>
      </c>
      <c r="M21" s="6"/>
      <c r="N21" s="69"/>
      <c r="O21" s="69"/>
      <c r="P21" s="70"/>
      <c r="Q21" s="70"/>
      <c r="R21" s="70"/>
      <c r="S21" s="70"/>
      <c r="T21" s="70"/>
    </row>
    <row r="22" spans="2:20" x14ac:dyDescent="0.25">
      <c r="B22" s="14" t="s">
        <v>114</v>
      </c>
      <c r="C22" s="6" t="s">
        <v>67</v>
      </c>
      <c r="D22" s="69"/>
      <c r="E22" s="69"/>
      <c r="F22" s="70"/>
      <c r="G22" s="70"/>
      <c r="H22" s="70"/>
      <c r="I22" s="70"/>
      <c r="J22" s="70"/>
      <c r="L22" s="14" t="s">
        <v>114</v>
      </c>
      <c r="M22" s="6"/>
      <c r="N22" s="69"/>
      <c r="O22" s="69"/>
      <c r="P22" s="70"/>
      <c r="Q22" s="70"/>
      <c r="R22" s="70"/>
      <c r="S22" s="70"/>
      <c r="T22" s="70"/>
    </row>
    <row r="23" spans="2:20" x14ac:dyDescent="0.25">
      <c r="B23" s="307" t="s">
        <v>107</v>
      </c>
      <c r="C23" s="316"/>
      <c r="D23" s="316"/>
      <c r="E23" s="316"/>
      <c r="F23" s="316"/>
      <c r="G23" s="316"/>
      <c r="H23" s="308"/>
      <c r="I23" s="70">
        <f>SUM(I4:I20)</f>
        <v>40.60183238598291</v>
      </c>
      <c r="J23" s="70">
        <f>SUM(J4:J20)</f>
        <v>49.55507979082936</v>
      </c>
      <c r="L23" s="307" t="s">
        <v>107</v>
      </c>
      <c r="M23" s="316"/>
      <c r="N23" s="316"/>
      <c r="O23" s="316"/>
      <c r="P23" s="316"/>
      <c r="Q23" s="316"/>
      <c r="R23" s="308"/>
      <c r="S23" s="70">
        <f>SUM(S4:S20)</f>
        <v>159.32541439539062</v>
      </c>
      <c r="T23" s="70">
        <f>SUM(T4:T20)</f>
        <v>270.32678834454958</v>
      </c>
    </row>
    <row r="24" spans="2:20" x14ac:dyDescent="0.25">
      <c r="B24" s="307" t="s">
        <v>108</v>
      </c>
      <c r="C24" s="316"/>
      <c r="D24" s="316"/>
      <c r="E24" s="316"/>
      <c r="F24" s="316"/>
      <c r="G24" s="316"/>
      <c r="H24" s="308"/>
      <c r="I24" s="70">
        <f>I23/'CMP Data Input'!N37</f>
        <v>610.83599539990212</v>
      </c>
      <c r="J24" s="70">
        <f>J23/'CMP Data Input'!N37</f>
        <v>745.53350704445143</v>
      </c>
      <c r="L24" s="307" t="s">
        <v>108</v>
      </c>
      <c r="M24" s="316"/>
      <c r="N24" s="316"/>
      <c r="O24" s="316"/>
      <c r="P24" s="316"/>
      <c r="Q24" s="316"/>
      <c r="R24" s="308"/>
      <c r="S24" s="70">
        <f>S23/'CMP Data Input'!N37</f>
        <v>2396.9779779768996</v>
      </c>
      <c r="T24" s="70">
        <f>T23/'CMP Data Input'!N37</f>
        <v>4066.9428727238501</v>
      </c>
    </row>
    <row r="25" spans="2:20" x14ac:dyDescent="0.25">
      <c r="B25" s="307" t="s">
        <v>109</v>
      </c>
      <c r="C25" s="316"/>
      <c r="D25" s="316"/>
      <c r="E25" s="316"/>
      <c r="F25" s="316"/>
      <c r="G25" s="316"/>
      <c r="H25" s="308"/>
      <c r="I25" s="70">
        <f>I24*365</f>
        <v>222955.13832096427</v>
      </c>
      <c r="J25" s="70">
        <f>J24*365</f>
        <v>272119.7300712248</v>
      </c>
      <c r="L25" s="307" t="s">
        <v>109</v>
      </c>
      <c r="M25" s="316"/>
      <c r="N25" s="316"/>
      <c r="O25" s="316"/>
      <c r="P25" s="316"/>
      <c r="Q25" s="316"/>
      <c r="R25" s="308"/>
      <c r="S25" s="70">
        <f>S24*365</f>
        <v>874896.96196156833</v>
      </c>
      <c r="T25" s="70">
        <f>T24*365</f>
        <v>1484434.1485442054</v>
      </c>
    </row>
    <row r="26" spans="2:20" x14ac:dyDescent="0.25">
      <c r="B26" s="20"/>
      <c r="C26" s="20"/>
      <c r="D26" s="20"/>
      <c r="E26" s="20"/>
      <c r="F26" s="20"/>
      <c r="G26" s="20"/>
      <c r="H26" s="20"/>
      <c r="L26" s="20"/>
      <c r="M26" s="20"/>
      <c r="N26" s="20"/>
      <c r="O26" s="20"/>
      <c r="P26" s="20"/>
      <c r="Q26" s="20"/>
      <c r="R26" s="20"/>
    </row>
    <row r="27" spans="2:20" x14ac:dyDescent="0.25">
      <c r="J27" s="1">
        <f>(J25-I25)/J25</f>
        <v>0.18067264632885002</v>
      </c>
      <c r="T27" s="1">
        <f>(T25-S25)/T25</f>
        <v>0.41061921620464892</v>
      </c>
    </row>
    <row r="29" spans="2:20" x14ac:dyDescent="0.25">
      <c r="B29" s="307" t="s">
        <v>105</v>
      </c>
      <c r="C29" s="316"/>
      <c r="D29" s="316"/>
      <c r="E29" s="308"/>
      <c r="L29" s="307" t="s">
        <v>105</v>
      </c>
      <c r="M29" s="316"/>
      <c r="N29" s="316"/>
      <c r="O29" s="308"/>
    </row>
    <row r="30" spans="2:20" x14ac:dyDescent="0.25">
      <c r="B30" s="317" t="str">
        <f>'CMP Data Input'!B24</f>
        <v>Average Network Speed</v>
      </c>
      <c r="C30" s="317"/>
      <c r="D30" s="317"/>
      <c r="E30" s="69">
        <f>'CMP Data Input'!C24</f>
        <v>28</v>
      </c>
      <c r="L30" s="317" t="str">
        <f>'CMP Data Input'!B24</f>
        <v>Average Network Speed</v>
      </c>
      <c r="M30" s="317"/>
      <c r="N30" s="317"/>
      <c r="O30" s="69">
        <f>'CMP Data Input'!D24</f>
        <v>14</v>
      </c>
    </row>
    <row r="31" spans="2:20" x14ac:dyDescent="0.25">
      <c r="B31" s="317" t="s">
        <v>101</v>
      </c>
      <c r="C31" s="317"/>
      <c r="D31" s="317"/>
      <c r="E31" s="69">
        <f>ROUNDDOWN(E30/5,0)*5</f>
        <v>25</v>
      </c>
      <c r="L31" s="317" t="s">
        <v>101</v>
      </c>
      <c r="M31" s="317"/>
      <c r="N31" s="317"/>
      <c r="O31" s="69">
        <f>ROUNDDOWN(O30/5,0)*5</f>
        <v>10</v>
      </c>
    </row>
    <row r="32" spans="2:20" x14ac:dyDescent="0.25">
      <c r="B32" s="317" t="s">
        <v>102</v>
      </c>
      <c r="C32" s="317"/>
      <c r="D32" s="317"/>
      <c r="E32" s="69">
        <f>E31+5</f>
        <v>30</v>
      </c>
      <c r="L32" s="317" t="s">
        <v>102</v>
      </c>
      <c r="M32" s="317"/>
      <c r="N32" s="317"/>
      <c r="O32" s="69">
        <f>O31+5</f>
        <v>15</v>
      </c>
    </row>
    <row r="33" spans="2:15" ht="45" x14ac:dyDescent="0.25">
      <c r="B33" s="14" t="s">
        <v>283</v>
      </c>
      <c r="C33" s="14" t="s">
        <v>100</v>
      </c>
      <c r="D33" s="14" t="s">
        <v>98</v>
      </c>
      <c r="E33" s="14" t="s">
        <v>103</v>
      </c>
      <c r="L33" s="14" t="s">
        <v>283</v>
      </c>
      <c r="M33" s="14" t="s">
        <v>100</v>
      </c>
      <c r="N33" s="14" t="s">
        <v>98</v>
      </c>
      <c r="O33" s="14" t="s">
        <v>103</v>
      </c>
    </row>
    <row r="34" spans="2:15" x14ac:dyDescent="0.25">
      <c r="B34" s="13" t="s">
        <v>84</v>
      </c>
      <c r="C34" s="70">
        <f>VLOOKUP($E$31, speed_emission_rel, 2, FALSE)</f>
        <v>-26.141661748439933</v>
      </c>
      <c r="D34" s="70">
        <f>VLOOKUP($E32, speed_emission_rel, 2, FALSE)</f>
        <v>-20.925438073730824</v>
      </c>
      <c r="E34" s="70">
        <f>C34+(D34-C34)/5*($E$32-$E$30)</f>
        <v>-24.055172278556288</v>
      </c>
      <c r="L34" s="14" t="s">
        <v>84</v>
      </c>
      <c r="M34" s="70">
        <f>VLOOKUP($O$31, speed_emission_rel, 2, FALSE)</f>
        <v>-79.453329296191015</v>
      </c>
      <c r="N34" s="70">
        <f>VLOOKUP($O32, speed_emission_rel, 2, FALSE)</f>
        <v>-69.521663134167142</v>
      </c>
      <c r="O34" s="70">
        <f>M34+(N34-M34)/5*($O$32-$O$30)</f>
        <v>-77.46699606378624</v>
      </c>
    </row>
    <row r="35" spans="2:15" x14ac:dyDescent="0.25">
      <c r="B35" s="13" t="s">
        <v>85</v>
      </c>
      <c r="C35" s="70">
        <f>VLOOKUP($E$31, speed_emission_rel, 3, FALSE)</f>
        <v>-26.141661748439933</v>
      </c>
      <c r="D35" s="70">
        <f>VLOOKUP($E32, speed_emission_rel, 3, FALSE)</f>
        <v>-20.925438073730824</v>
      </c>
      <c r="E35" s="70">
        <f>C35+(D35-C35)/5*($E$32-$E$30)</f>
        <v>-24.055172278556288</v>
      </c>
      <c r="L35" s="14" t="s">
        <v>85</v>
      </c>
      <c r="M35" s="70">
        <f>VLOOKUP($O$31, speed_emission_rel, 3, FALSE)</f>
        <v>-79.453329296191015</v>
      </c>
      <c r="N35" s="70">
        <f>VLOOKUP($O32, speed_emission_rel, 3, FALSE)</f>
        <v>-69.521663134167142</v>
      </c>
      <c r="O35" s="70">
        <f>M35+(N35-M35)/5*($O$32-$O$30)</f>
        <v>-77.46699606378624</v>
      </c>
    </row>
    <row r="36" spans="2:15" ht="18" customHeight="1" x14ac:dyDescent="0.25">
      <c r="B36" s="13" t="s">
        <v>99</v>
      </c>
      <c r="C36" s="70">
        <f>VLOOKUP($E$31, speed_emission_rel, 4, FALSE)</f>
        <v>-20.023033020871797</v>
      </c>
      <c r="D36" s="70">
        <f>VLOOKUP($E32, speed_emission_rel, 4, FALSE)</f>
        <v>-12.431700310913214</v>
      </c>
      <c r="E36" s="70">
        <f>C36+(D36-C36)/5*($E$32-$E$30)</f>
        <v>-16.986499936888364</v>
      </c>
      <c r="L36" s="14" t="s">
        <v>99</v>
      </c>
      <c r="M36" s="70">
        <f>VLOOKUP($O$31, speed_emission_rel, 4, FALSE)</f>
        <v>-69.932437804548925</v>
      </c>
      <c r="N36" s="70">
        <f>VLOOKUP($O32, speed_emission_rel, 4, FALSE)</f>
        <v>-61.190883078980313</v>
      </c>
      <c r="O36" s="70">
        <f>M36+(N36-M36)/5*($O$32-$O$30)</f>
        <v>-68.184126859435196</v>
      </c>
    </row>
    <row r="37" spans="2:15" x14ac:dyDescent="0.25">
      <c r="B37" s="13" t="s">
        <v>39</v>
      </c>
      <c r="C37" s="70">
        <f>VLOOKUP($E$31, speed_emission_rel, 6, FALSE)</f>
        <v>-39.374695682079917</v>
      </c>
      <c r="D37" s="70">
        <f>VLOOKUP($E$32, speed_emission_rel, 6, FALSE)</f>
        <v>-23.409575218718462</v>
      </c>
      <c r="E37" s="70">
        <f>C37+(D37-C37)/5*($E$32-$E$30)</f>
        <v>-32.988647496735332</v>
      </c>
      <c r="L37" s="14" t="s">
        <v>39</v>
      </c>
      <c r="M37" s="70">
        <f>VLOOKUP($O$31, speed_emission_rel, 6, FALSE)</f>
        <v>-69.932437804548925</v>
      </c>
      <c r="N37" s="70">
        <f>VLOOKUP($O$32, speed_emission_rel, 6, FALSE)</f>
        <v>-61.190883078980313</v>
      </c>
      <c r="O37" s="70">
        <f>M37+(N37-M37)/5*($O$32-$O$30)</f>
        <v>-68.184126859435196</v>
      </c>
    </row>
  </sheetData>
  <mergeCells count="16">
    <mergeCell ref="B30:D30"/>
    <mergeCell ref="B31:D31"/>
    <mergeCell ref="B32:D32"/>
    <mergeCell ref="L30:N30"/>
    <mergeCell ref="L31:N31"/>
    <mergeCell ref="L32:N32"/>
    <mergeCell ref="B29:E29"/>
    <mergeCell ref="L29:O29"/>
    <mergeCell ref="B23:H23"/>
    <mergeCell ref="B24:H24"/>
    <mergeCell ref="B25:H25"/>
    <mergeCell ref="B2:J2"/>
    <mergeCell ref="L2:T2"/>
    <mergeCell ref="L23:R23"/>
    <mergeCell ref="L24:R24"/>
    <mergeCell ref="L25:R25"/>
  </mergeCells>
  <dataValidations disablePrompts="1" count="1">
    <dataValidation type="list" allowBlank="1" showInputMessage="1" showErrorMessage="1" sqref="M4:M10 C4:C10">
      <formula1>fuel_type</formula1>
    </dataValidation>
  </dataValidation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B2:T38"/>
  <sheetViews>
    <sheetView zoomScale="83" zoomScaleNormal="83" workbookViewId="0">
      <selection activeCell="G32" sqref="G32"/>
    </sheetView>
  </sheetViews>
  <sheetFormatPr defaultRowHeight="15" x14ac:dyDescent="0.25"/>
  <cols>
    <col min="1" max="1" width="9.140625" style="1"/>
    <col min="2" max="2" width="12.85546875" style="1" customWidth="1"/>
    <col min="3" max="3" width="10.42578125" style="1" customWidth="1"/>
    <col min="4" max="4" width="10.28515625" style="1" customWidth="1"/>
    <col min="5" max="5" width="8.42578125" style="1" customWidth="1"/>
    <col min="6" max="6" width="9.28515625" style="1" customWidth="1"/>
    <col min="7" max="7" width="13.140625" style="1" customWidth="1"/>
    <col min="8" max="8" width="12.42578125" style="1" customWidth="1"/>
    <col min="9" max="9" width="13.28515625" style="1" customWidth="1"/>
    <col min="10" max="10" width="17.7109375" style="1" customWidth="1"/>
    <col min="11" max="16384" width="9.140625" style="1"/>
  </cols>
  <sheetData>
    <row r="2" spans="2:20" ht="18.75" x14ac:dyDescent="0.3">
      <c r="B2" s="315" t="s">
        <v>285</v>
      </c>
      <c r="C2" s="315"/>
      <c r="D2" s="315"/>
      <c r="E2" s="315"/>
      <c r="F2" s="315"/>
      <c r="G2" s="315"/>
      <c r="H2" s="315"/>
      <c r="I2" s="315"/>
      <c r="J2" s="315"/>
    </row>
    <row r="3" spans="2:20" ht="45" customHeight="1" x14ac:dyDescent="0.25">
      <c r="B3" s="13" t="s">
        <v>71</v>
      </c>
      <c r="C3" s="13" t="s">
        <v>52</v>
      </c>
      <c r="D3" s="14" t="s">
        <v>94</v>
      </c>
      <c r="E3" s="14" t="s">
        <v>95</v>
      </c>
      <c r="F3" s="14" t="s">
        <v>96</v>
      </c>
      <c r="G3" s="14" t="s">
        <v>97</v>
      </c>
      <c r="H3" s="14" t="s">
        <v>104</v>
      </c>
      <c r="I3" s="14" t="s">
        <v>110</v>
      </c>
      <c r="J3" s="14" t="s">
        <v>111</v>
      </c>
    </row>
    <row r="4" spans="2:20" x14ac:dyDescent="0.25">
      <c r="B4" s="13" t="s">
        <v>77</v>
      </c>
      <c r="C4" s="6" t="s">
        <v>78</v>
      </c>
      <c r="D4" s="68">
        <f>'CMP Data Input'!G9*'BAU Assumptions'!G59</f>
        <v>96904</v>
      </c>
      <c r="E4" s="69">
        <f>'CMP Data Input'!E21</f>
        <v>6</v>
      </c>
      <c r="F4" s="70">
        <f>'Emissions Factors'!J16</f>
        <v>12.68778136947704</v>
      </c>
      <c r="G4" s="70">
        <f>(1-E35/100)</f>
        <v>1.1268610048639827</v>
      </c>
      <c r="H4" s="70">
        <f>F4*G4</f>
        <v>14.297366063503416</v>
      </c>
      <c r="I4" s="70">
        <f>D4*E4*F4/1000000</f>
        <v>7.3769805949668186</v>
      </c>
      <c r="J4" s="70">
        <f t="shared" ref="J4:J22" si="0">D4*E4*H4/1000000</f>
        <v>8.3128317661064095</v>
      </c>
    </row>
    <row r="5" spans="2:20" x14ac:dyDescent="0.25">
      <c r="B5" s="13" t="s">
        <v>82</v>
      </c>
      <c r="C5" s="6" t="s">
        <v>53</v>
      </c>
      <c r="D5" s="69">
        <f>'CMP Data Input'!G11*'BAU Assumptions'!G60</f>
        <v>35841</v>
      </c>
      <c r="E5" s="69">
        <f>'CMP Data Input'!E22</f>
        <v>9.5</v>
      </c>
      <c r="F5" s="70">
        <f>'Emissions Factors'!J17</f>
        <v>23.215973844106006</v>
      </c>
      <c r="G5" s="70">
        <f>1-E36/100</f>
        <v>1.1268610048639827</v>
      </c>
      <c r="H5" s="70">
        <f t="shared" ref="H5:H20" si="1">F5*G5</f>
        <v>26.161175614865233</v>
      </c>
      <c r="I5" s="70">
        <f t="shared" ref="I5:I22" si="2">D5*E5*F5/1000000</f>
        <v>7.9047953261927324</v>
      </c>
      <c r="J5" s="70">
        <f t="shared" si="0"/>
        <v>8.9076056045176557</v>
      </c>
    </row>
    <row r="6" spans="2:20" x14ac:dyDescent="0.25">
      <c r="B6" s="13" t="s">
        <v>82</v>
      </c>
      <c r="C6" s="6" t="s">
        <v>55</v>
      </c>
      <c r="D6" s="69">
        <f>'CMP Data Input'!G11*'BAU Assumptions'!G61</f>
        <v>0</v>
      </c>
      <c r="E6" s="69">
        <f>'CMP Data Input'!E22</f>
        <v>9.5</v>
      </c>
      <c r="F6" s="70">
        <f>'Emissions Factors'!J18</f>
        <v>24.442834250501853</v>
      </c>
      <c r="G6" s="70">
        <f>G5</f>
        <v>1.1268610048639827</v>
      </c>
      <c r="H6" s="70">
        <f t="shared" si="1"/>
        <v>27.543676765244292</v>
      </c>
      <c r="I6" s="70">
        <f t="shared" si="2"/>
        <v>0</v>
      </c>
      <c r="J6" s="70">
        <f t="shared" si="0"/>
        <v>0</v>
      </c>
    </row>
    <row r="7" spans="2:20" x14ac:dyDescent="0.25">
      <c r="B7" s="13" t="s">
        <v>82</v>
      </c>
      <c r="C7" s="6" t="s">
        <v>81</v>
      </c>
      <c r="D7" s="69">
        <f>'CMP Data Input'!G11*'BAU Assumptions'!G62</f>
        <v>0</v>
      </c>
      <c r="E7" s="69">
        <f>'CMP Data Input'!E22</f>
        <v>9.5</v>
      </c>
      <c r="F7" s="70">
        <f>'Emissions Factors'!J19</f>
        <v>17.166608301800338</v>
      </c>
      <c r="G7" s="70">
        <f>G6</f>
        <v>1.1268610048639827</v>
      </c>
      <c r="H7" s="70">
        <f t="shared" si="1"/>
        <v>19.344381481073114</v>
      </c>
      <c r="I7" s="70">
        <f t="shared" si="2"/>
        <v>0</v>
      </c>
      <c r="J7" s="70">
        <f t="shared" si="0"/>
        <v>0</v>
      </c>
    </row>
    <row r="8" spans="2:20" ht="32.25" customHeight="1" x14ac:dyDescent="0.25">
      <c r="B8" s="14" t="s">
        <v>92</v>
      </c>
      <c r="C8" s="6" t="s">
        <v>54</v>
      </c>
      <c r="D8" s="69">
        <f>'CMP Data Input'!$D$11*'BAU Assumptions'!G63</f>
        <v>0</v>
      </c>
      <c r="E8" s="69">
        <f>'CMP Data Input'!E22</f>
        <v>9.5</v>
      </c>
      <c r="F8" s="70">
        <f>'Emissions Factors'!J20</f>
        <v>41.401820021989053</v>
      </c>
      <c r="G8" s="70">
        <f>G7</f>
        <v>1.1268610048639827</v>
      </c>
      <c r="H8" s="70">
        <f t="shared" si="1"/>
        <v>46.654096513176341</v>
      </c>
      <c r="I8" s="70">
        <f t="shared" si="2"/>
        <v>0</v>
      </c>
      <c r="J8" s="70">
        <f t="shared" si="0"/>
        <v>0</v>
      </c>
    </row>
    <row r="9" spans="2:20" x14ac:dyDescent="0.25">
      <c r="B9" s="13" t="s">
        <v>24</v>
      </c>
      <c r="C9" s="6" t="s">
        <v>78</v>
      </c>
      <c r="D9" s="69">
        <f>'CMP Data Input'!G10*'BAU Assumptions'!G64</f>
        <v>143763</v>
      </c>
      <c r="E9" s="69">
        <f>'CMP Data Input'!$E$21</f>
        <v>6</v>
      </c>
      <c r="F9" s="70">
        <f>'Emissions Factors'!J21</f>
        <v>54.40654032978501</v>
      </c>
      <c r="G9" s="70">
        <f>1-E37/100</f>
        <v>1.0813231160970826</v>
      </c>
      <c r="H9" s="70">
        <f t="shared" si="1"/>
        <v>58.831049725464723</v>
      </c>
      <c r="I9" s="70">
        <f t="shared" si="2"/>
        <v>46.929884744585287</v>
      </c>
      <c r="J9" s="70">
        <f t="shared" si="0"/>
        <v>50.746369210091913</v>
      </c>
    </row>
    <row r="10" spans="2:20" x14ac:dyDescent="0.25">
      <c r="B10" s="13" t="s">
        <v>24</v>
      </c>
      <c r="C10" s="6" t="s">
        <v>79</v>
      </c>
      <c r="D10" s="69">
        <f>'CMP Data Input'!G10*'BAU Assumptions'!G65</f>
        <v>0</v>
      </c>
      <c r="E10" s="69">
        <f>'CMP Data Input'!$E$21</f>
        <v>6</v>
      </c>
      <c r="F10" s="70">
        <f>'Emissions Factors'!J22</f>
        <v>48.621421644241522</v>
      </c>
      <c r="G10" s="70">
        <f t="shared" ref="G10:G15" si="3">G9</f>
        <v>1.0813231160970826</v>
      </c>
      <c r="H10" s="70">
        <f t="shared" si="1"/>
        <v>52.575467161421379</v>
      </c>
      <c r="I10" s="70">
        <f t="shared" si="2"/>
        <v>0</v>
      </c>
      <c r="J10" s="70">
        <f t="shared" si="0"/>
        <v>0</v>
      </c>
    </row>
    <row r="11" spans="2:20" x14ac:dyDescent="0.25">
      <c r="B11" s="13" t="s">
        <v>24</v>
      </c>
      <c r="C11" s="6" t="s">
        <v>55</v>
      </c>
      <c r="D11" s="69">
        <f>'CMP Data Input'!G10*'BAU Assumptions'!G66</f>
        <v>0</v>
      </c>
      <c r="E11" s="69">
        <f>'CMP Data Input'!$E$21</f>
        <v>6</v>
      </c>
      <c r="F11" s="70">
        <f>'Emissions Factors'!J23</f>
        <v>41.269696593607954</v>
      </c>
      <c r="G11" s="70">
        <f t="shared" si="3"/>
        <v>1.0813231160970826</v>
      </c>
      <c r="H11" s="70">
        <f t="shared" si="1"/>
        <v>44.625876920981312</v>
      </c>
      <c r="I11" s="70">
        <f t="shared" si="2"/>
        <v>0</v>
      </c>
      <c r="J11" s="70">
        <f t="shared" si="0"/>
        <v>0</v>
      </c>
    </row>
    <row r="12" spans="2:20" x14ac:dyDescent="0.25">
      <c r="B12" s="13" t="s">
        <v>26</v>
      </c>
      <c r="C12" s="6" t="s">
        <v>78</v>
      </c>
      <c r="D12" s="69">
        <f>'CMP Data Input'!G12*'BAU Assumptions'!G67</f>
        <v>0</v>
      </c>
      <c r="E12" s="69">
        <f>'CMP Data Input'!$E$22</f>
        <v>9.5</v>
      </c>
      <c r="F12" s="70">
        <f>'Emissions Factors'!J24</f>
        <v>54.40654032978501</v>
      </c>
      <c r="G12" s="70">
        <f t="shared" si="3"/>
        <v>1.0813231160970826</v>
      </c>
      <c r="H12" s="70">
        <f t="shared" si="1"/>
        <v>58.831049725464723</v>
      </c>
      <c r="I12" s="70">
        <f t="shared" si="2"/>
        <v>0</v>
      </c>
      <c r="J12" s="70">
        <f t="shared" si="0"/>
        <v>0</v>
      </c>
      <c r="O12" s="15" t="s">
        <v>163</v>
      </c>
      <c r="P12" s="16"/>
      <c r="Q12" s="16"/>
      <c r="R12" s="16"/>
      <c r="S12" s="16">
        <f>(J4+J5+J9+J13)/(D4*E4+D5*E5+D9*E9+D13*E13)*1000*1000</f>
        <v>40.834518901823444</v>
      </c>
      <c r="T12" s="17">
        <f>(J4+J5+J9+J13)/(D4+D5+D9+D13)*10^6</f>
        <v>283.48586144830676</v>
      </c>
    </row>
    <row r="13" spans="2:20" x14ac:dyDescent="0.25">
      <c r="B13" s="13" t="s">
        <v>26</v>
      </c>
      <c r="C13" s="6" t="s">
        <v>79</v>
      </c>
      <c r="D13" s="69">
        <f>'CMP Data Input'!G12*'BAU Assumptions'!G68</f>
        <v>52826</v>
      </c>
      <c r="E13" s="69">
        <f>'CMP Data Input'!$E$22</f>
        <v>9.5</v>
      </c>
      <c r="F13" s="70">
        <f>'Emissions Factors'!J25</f>
        <v>46.796860014216932</v>
      </c>
      <c r="G13" s="70">
        <f t="shared" si="3"/>
        <v>1.0813231160970826</v>
      </c>
      <c r="H13" s="70">
        <f t="shared" si="1"/>
        <v>50.602526494132022</v>
      </c>
      <c r="I13" s="70">
        <f t="shared" si="2"/>
        <v>23.484863807554724</v>
      </c>
      <c r="J13" s="70">
        <f t="shared" si="0"/>
        <v>25.394726113500674</v>
      </c>
      <c r="O13" s="18" t="s">
        <v>164</v>
      </c>
      <c r="P13" s="7"/>
      <c r="Q13" s="7"/>
      <c r="R13" s="7"/>
      <c r="S13" s="63">
        <f>(J17+J19+J21+J22)/(D17+D19+D21+D22)*1000/13*1000</f>
        <v>33.037426897440113</v>
      </c>
      <c r="T13" s="19">
        <f>(J17+J19+J21+J22)/(D17+D19+D21+D22)*10^6</f>
        <v>429.48654966672137</v>
      </c>
    </row>
    <row r="14" spans="2:20" x14ac:dyDescent="0.25">
      <c r="B14" s="13" t="s">
        <v>80</v>
      </c>
      <c r="C14" s="6" t="s">
        <v>55</v>
      </c>
      <c r="D14" s="69">
        <f>'CMP Data Input'!G12*'BAU Assumptions'!G69</f>
        <v>0</v>
      </c>
      <c r="E14" s="69">
        <f>'CMP Data Input'!$E$22</f>
        <v>9.5</v>
      </c>
      <c r="F14" s="70">
        <f>'Emissions Factors'!J26</f>
        <v>41.269696593607954</v>
      </c>
      <c r="G14" s="70">
        <f t="shared" si="3"/>
        <v>1.0813231160970826</v>
      </c>
      <c r="H14" s="70">
        <f t="shared" si="1"/>
        <v>44.625876920981312</v>
      </c>
      <c r="I14" s="70">
        <f t="shared" si="2"/>
        <v>0</v>
      </c>
      <c r="J14" s="70">
        <f t="shared" si="0"/>
        <v>0</v>
      </c>
      <c r="O14" s="18"/>
      <c r="P14" s="7"/>
      <c r="Q14" s="7"/>
      <c r="R14" s="7"/>
      <c r="S14" s="7"/>
      <c r="T14" s="19"/>
    </row>
    <row r="15" spans="2:20" x14ac:dyDescent="0.25">
      <c r="B15" s="13" t="s">
        <v>26</v>
      </c>
      <c r="C15" s="6" t="s">
        <v>81</v>
      </c>
      <c r="D15" s="69">
        <f>'CMP Data Input'!G12*'BAU Assumptions'!G70</f>
        <v>0</v>
      </c>
      <c r="E15" s="69">
        <f>'CMP Data Input'!$E$22</f>
        <v>9.5</v>
      </c>
      <c r="F15" s="70">
        <f>'Emissions Factors'!J27</f>
        <v>44.056871773266217</v>
      </c>
      <c r="G15" s="70">
        <f t="shared" si="3"/>
        <v>1.0813231160970826</v>
      </c>
      <c r="H15" s="70">
        <f t="shared" si="1"/>
        <v>47.639713871357827</v>
      </c>
      <c r="I15" s="70">
        <f t="shared" si="2"/>
        <v>0</v>
      </c>
      <c r="J15" s="70">
        <f t="shared" si="0"/>
        <v>0</v>
      </c>
      <c r="O15" s="18"/>
      <c r="P15" s="7"/>
      <c r="Q15" s="7"/>
      <c r="R15" s="7"/>
      <c r="S15" s="63">
        <f>(S12-S13)/S12%</f>
        <v>19.094364802312281</v>
      </c>
      <c r="T15" s="82">
        <f>(T12-T13)/T12%</f>
        <v>-51.501929398703936</v>
      </c>
    </row>
    <row r="16" spans="2:20" x14ac:dyDescent="0.25">
      <c r="B16" s="13" t="s">
        <v>76</v>
      </c>
      <c r="C16" s="6" t="s">
        <v>54</v>
      </c>
      <c r="D16" s="69">
        <f>'CMP Data Input'!G15*'BAU Assumptions'!G71</f>
        <v>0</v>
      </c>
      <c r="E16" s="69">
        <f>'CMP Data Input'!$E$23</f>
        <v>13</v>
      </c>
      <c r="F16" s="70">
        <f>'Emissions Factors'!J28</f>
        <v>16.409257935544439</v>
      </c>
      <c r="G16" s="70">
        <f>1-E38/100</f>
        <v>1.186454866101093</v>
      </c>
      <c r="H16" s="70">
        <f t="shared" si="1"/>
        <v>19.468843926734674</v>
      </c>
      <c r="I16" s="70">
        <f t="shared" si="2"/>
        <v>0</v>
      </c>
      <c r="J16" s="70">
        <f t="shared" si="0"/>
        <v>0</v>
      </c>
      <c r="O16" s="18"/>
      <c r="P16" s="7"/>
      <c r="Q16" s="7"/>
      <c r="R16" s="7"/>
      <c r="S16" s="7"/>
      <c r="T16" s="19"/>
    </row>
    <row r="17" spans="2:20" x14ac:dyDescent="0.25">
      <c r="B17" s="13" t="s">
        <v>38</v>
      </c>
      <c r="C17" s="6" t="s">
        <v>54</v>
      </c>
      <c r="D17" s="69">
        <f>'CMP Data Input'!G15*'BAU Assumptions'!G72</f>
        <v>101333.00000000001</v>
      </c>
      <c r="E17" s="69">
        <f>'CMP Data Input'!$E$23</f>
        <v>13</v>
      </c>
      <c r="F17" s="70">
        <f>'Emissions Factors'!J29</f>
        <v>11.222591969320225</v>
      </c>
      <c r="G17" s="70">
        <f>G16</f>
        <v>1.186454866101093</v>
      </c>
      <c r="H17" s="70">
        <f t="shared" si="1"/>
        <v>13.315098852267029</v>
      </c>
      <c r="I17" s="70">
        <f t="shared" si="2"/>
        <v>14.783845856352645</v>
      </c>
      <c r="J17" s="70">
        <f t="shared" si="0"/>
        <v>17.540365855958079</v>
      </c>
      <c r="O17" s="83">
        <f>F9/F17</f>
        <v>4.8479478251119668</v>
      </c>
      <c r="P17" s="84"/>
      <c r="Q17" s="84"/>
      <c r="R17" s="84"/>
      <c r="S17" s="84"/>
      <c r="T17" s="85"/>
    </row>
    <row r="18" spans="2:20" x14ac:dyDescent="0.25">
      <c r="B18" s="13" t="s">
        <v>38</v>
      </c>
      <c r="C18" s="6" t="s">
        <v>55</v>
      </c>
      <c r="D18" s="69">
        <f>'CMP Data Input'!G15*'BAU Assumptions'!G73</f>
        <v>0</v>
      </c>
      <c r="E18" s="69">
        <f>'CMP Data Input'!$E$23</f>
        <v>13</v>
      </c>
      <c r="F18" s="70">
        <f>'Emissions Factors'!J30</f>
        <v>14.658709892714812</v>
      </c>
      <c r="G18" s="70">
        <f>G17</f>
        <v>1.186454866101093</v>
      </c>
      <c r="H18" s="70">
        <f t="shared" si="1"/>
        <v>17.391897682975721</v>
      </c>
      <c r="I18" s="70">
        <f t="shared" si="2"/>
        <v>0</v>
      </c>
      <c r="J18" s="70">
        <f t="shared" si="0"/>
        <v>0</v>
      </c>
    </row>
    <row r="19" spans="2:20" x14ac:dyDescent="0.25">
      <c r="B19" s="13" t="s">
        <v>1</v>
      </c>
      <c r="C19" s="6" t="s">
        <v>54</v>
      </c>
      <c r="D19" s="68">
        <f>'CMP Data Input'!G18*'BAU Assumptions'!G74</f>
        <v>31666.562499999993</v>
      </c>
      <c r="E19" s="69">
        <f>'CMP Data Input'!$E$23</f>
        <v>13</v>
      </c>
      <c r="F19" s="70">
        <f>'Emissions Factors'!J31</f>
        <v>11.222591969320225</v>
      </c>
      <c r="G19" s="70">
        <f>G18</f>
        <v>1.186454866101093</v>
      </c>
      <c r="H19" s="70">
        <f t="shared" si="1"/>
        <v>13.315098852267029</v>
      </c>
      <c r="I19" s="70">
        <f t="shared" si="2"/>
        <v>4.6199518301101996</v>
      </c>
      <c r="J19" s="70">
        <f t="shared" si="0"/>
        <v>5.4813643299868966</v>
      </c>
    </row>
    <row r="20" spans="2:20" x14ac:dyDescent="0.25">
      <c r="B20" s="13" t="s">
        <v>1</v>
      </c>
      <c r="C20" s="6" t="s">
        <v>55</v>
      </c>
      <c r="D20" s="69">
        <f>'CMP Data Input'!G18*'BAU Assumptions'!G75</f>
        <v>0</v>
      </c>
      <c r="E20" s="69">
        <f>'CMP Data Input'!$E$23</f>
        <v>13</v>
      </c>
      <c r="F20" s="70">
        <f>'Emissions Factors'!J32</f>
        <v>14.658709892714812</v>
      </c>
      <c r="G20" s="70">
        <f>G19</f>
        <v>1.186454866101093</v>
      </c>
      <c r="H20" s="70">
        <f t="shared" si="1"/>
        <v>17.391897682975721</v>
      </c>
      <c r="I20" s="70">
        <f t="shared" si="2"/>
        <v>0</v>
      </c>
      <c r="J20" s="70">
        <f t="shared" si="0"/>
        <v>0</v>
      </c>
    </row>
    <row r="21" spans="2:20" x14ac:dyDescent="0.25">
      <c r="B21" s="13" t="s">
        <v>2</v>
      </c>
      <c r="C21" s="6" t="s">
        <v>67</v>
      </c>
      <c r="D21" s="69">
        <f>'CMP Data Input'!G19*'BAU Assumptions'!G76</f>
        <v>101332.99999999898</v>
      </c>
      <c r="E21" s="69">
        <f>'CMP Data Input'!$E$23</f>
        <v>13</v>
      </c>
      <c r="F21" s="70">
        <f>'Emissions Factors'!G33</f>
        <v>53.68</v>
      </c>
      <c r="G21" s="70">
        <v>1</v>
      </c>
      <c r="H21" s="70">
        <f>F21*G21</f>
        <v>53.68</v>
      </c>
      <c r="I21" s="70">
        <f t="shared" si="2"/>
        <v>70.71422071999929</v>
      </c>
      <c r="J21" s="70">
        <f t="shared" si="0"/>
        <v>70.71422071999929</v>
      </c>
    </row>
    <row r="22" spans="2:20" x14ac:dyDescent="0.25">
      <c r="B22" s="13" t="s">
        <v>114</v>
      </c>
      <c r="C22" s="6" t="s">
        <v>67</v>
      </c>
      <c r="D22" s="68">
        <f>'CMP Data Input'!G17*'BAU Assumptions'!G77</f>
        <v>18999.937500000018</v>
      </c>
      <c r="E22" s="69">
        <f>'CMP Data Input'!$E$23</f>
        <v>13</v>
      </c>
      <c r="F22" s="70">
        <f>'Emissions Factors'!G34</f>
        <v>61</v>
      </c>
      <c r="G22" s="70">
        <v>1</v>
      </c>
      <c r="H22" s="70">
        <f>F22*G22</f>
        <v>61</v>
      </c>
      <c r="I22" s="70">
        <f t="shared" si="2"/>
        <v>15.066950437500015</v>
      </c>
      <c r="J22" s="70">
        <f t="shared" si="0"/>
        <v>15.066950437500015</v>
      </c>
    </row>
    <row r="23" spans="2:20" x14ac:dyDescent="0.25">
      <c r="B23" s="307" t="s">
        <v>284</v>
      </c>
      <c r="C23" s="308"/>
      <c r="D23" s="68">
        <f>SUM(D4:D22)</f>
        <v>582666.49999999895</v>
      </c>
      <c r="E23" s="22"/>
      <c r="F23" s="23"/>
      <c r="G23" s="23"/>
      <c r="H23" s="24"/>
      <c r="I23" s="10"/>
      <c r="J23" s="10"/>
    </row>
    <row r="24" spans="2:20" x14ac:dyDescent="0.25">
      <c r="B24" s="307" t="s">
        <v>107</v>
      </c>
      <c r="C24" s="316"/>
      <c r="D24" s="316"/>
      <c r="E24" s="316"/>
      <c r="F24" s="316"/>
      <c r="G24" s="316"/>
      <c r="H24" s="308"/>
      <c r="I24" s="70">
        <f>SUM(I4:I20)</f>
        <v>105.1003221597624</v>
      </c>
      <c r="J24" s="70">
        <f>SUM(J4:J21)</f>
        <v>187.09748360016093</v>
      </c>
    </row>
    <row r="25" spans="2:20" x14ac:dyDescent="0.25">
      <c r="B25" s="317" t="s">
        <v>108</v>
      </c>
      <c r="C25" s="317"/>
      <c r="D25" s="317"/>
      <c r="E25" s="317"/>
      <c r="F25" s="317"/>
      <c r="G25" s="317"/>
      <c r="H25" s="317"/>
      <c r="I25" s="70">
        <f>I24/'CMP Data Input'!N37</f>
        <v>1581.1862699446167</v>
      </c>
      <c r="J25" s="70">
        <f>J24/'CMP Data Input'!N37</f>
        <v>2814.7960551449496</v>
      </c>
    </row>
    <row r="26" spans="2:20" x14ac:dyDescent="0.25">
      <c r="B26" s="317" t="s">
        <v>109</v>
      </c>
      <c r="C26" s="317"/>
      <c r="D26" s="317"/>
      <c r="E26" s="317"/>
      <c r="F26" s="317"/>
      <c r="G26" s="317"/>
      <c r="H26" s="317"/>
      <c r="I26" s="70">
        <f>I25*365</f>
        <v>577132.98852978507</v>
      </c>
      <c r="J26" s="70">
        <f>J25*365</f>
        <v>1027400.5601279066</v>
      </c>
    </row>
    <row r="27" spans="2:20" x14ac:dyDescent="0.25">
      <c r="B27" s="20"/>
      <c r="C27" s="20"/>
      <c r="D27" s="20"/>
      <c r="E27" s="20"/>
      <c r="F27" s="20"/>
      <c r="G27" s="20"/>
      <c r="H27" s="20"/>
    </row>
    <row r="30" spans="2:20" x14ac:dyDescent="0.25">
      <c r="B30" s="317" t="s">
        <v>105</v>
      </c>
      <c r="C30" s="317"/>
      <c r="D30" s="317"/>
      <c r="E30" s="317"/>
    </row>
    <row r="31" spans="2:20" x14ac:dyDescent="0.25">
      <c r="B31" s="317" t="str">
        <f>'CMP Data Input'!B24</f>
        <v>Average Network Speed</v>
      </c>
      <c r="C31" s="317"/>
      <c r="D31" s="317"/>
      <c r="E31" s="72">
        <v>32</v>
      </c>
    </row>
    <row r="32" spans="2:20" x14ac:dyDescent="0.25">
      <c r="B32" s="317" t="s">
        <v>101</v>
      </c>
      <c r="C32" s="317"/>
      <c r="D32" s="317"/>
      <c r="E32" s="72">
        <f>ROUNDDOWN(E31/5,0)*5</f>
        <v>30</v>
      </c>
    </row>
    <row r="33" spans="2:5" x14ac:dyDescent="0.25">
      <c r="B33" s="317" t="s">
        <v>102</v>
      </c>
      <c r="C33" s="317"/>
      <c r="D33" s="317"/>
      <c r="E33" s="72">
        <f>E32+5</f>
        <v>35</v>
      </c>
    </row>
    <row r="34" spans="2:5" ht="45" x14ac:dyDescent="0.25">
      <c r="B34" s="74" t="s">
        <v>283</v>
      </c>
      <c r="C34" s="14" t="s">
        <v>100</v>
      </c>
      <c r="D34" s="14" t="s">
        <v>98</v>
      </c>
      <c r="E34" s="14" t="s">
        <v>103</v>
      </c>
    </row>
    <row r="35" spans="2:5" x14ac:dyDescent="0.25">
      <c r="B35" s="74" t="s">
        <v>84</v>
      </c>
      <c r="C35" s="73">
        <f>VLOOKUP($E$32, speed_emission_rel, 2, FALSE)</f>
        <v>-20.925438073730824</v>
      </c>
      <c r="D35" s="73">
        <f>VLOOKUP($E33, speed_emission_rel, 2, FALSE)</f>
        <v>-7.1932087615098812</v>
      </c>
      <c r="E35" s="73">
        <f>C35+(D35-C35)/5*($E$33-$E$31)</f>
        <v>-12.686100486398258</v>
      </c>
    </row>
    <row r="36" spans="2:5" x14ac:dyDescent="0.25">
      <c r="B36" s="74" t="s">
        <v>85</v>
      </c>
      <c r="C36" s="73">
        <f>VLOOKUP($E$32, speed_emission_rel, 3, FALSE)</f>
        <v>-20.925438073730824</v>
      </c>
      <c r="D36" s="73">
        <f>VLOOKUP($E33, speed_emission_rel, 3, FALSE)</f>
        <v>-7.1932087615098812</v>
      </c>
      <c r="E36" s="73">
        <f>C36+(D36-C36)/5*($E$33-$E$31)</f>
        <v>-12.686100486398258</v>
      </c>
    </row>
    <row r="37" spans="2:5" x14ac:dyDescent="0.25">
      <c r="B37" s="74" t="s">
        <v>99</v>
      </c>
      <c r="C37" s="73">
        <f>VLOOKUP($E$32, speed_emission_rel, 4, FALSE)</f>
        <v>-12.431700310913214</v>
      </c>
      <c r="D37" s="73">
        <f>VLOOKUP($E33, speed_emission_rel, 4, FALSE)</f>
        <v>-5.2660524755716143</v>
      </c>
      <c r="E37" s="73">
        <f>C37+(D37-C37)/5*($E$33-$E$31)</f>
        <v>-8.1323116097082551</v>
      </c>
    </row>
    <row r="38" spans="2:5" x14ac:dyDescent="0.25">
      <c r="B38" s="74" t="s">
        <v>39</v>
      </c>
      <c r="C38" s="73">
        <f>VLOOKUP($E$32, speed_emission_rel, 6, FALSE)</f>
        <v>-23.409575218718462</v>
      </c>
      <c r="D38" s="73">
        <f>VLOOKUP($E$33, speed_emission_rel, 6, FALSE)</f>
        <v>-15.469427537703208</v>
      </c>
      <c r="E38" s="73">
        <f>C38+(D38-C38)/5*($E$33-$E$31)</f>
        <v>-18.645486610109309</v>
      </c>
    </row>
  </sheetData>
  <mergeCells count="9">
    <mergeCell ref="B31:D31"/>
    <mergeCell ref="B32:D32"/>
    <mergeCell ref="B33:D33"/>
    <mergeCell ref="B2:J2"/>
    <mergeCell ref="B24:H24"/>
    <mergeCell ref="B25:H25"/>
    <mergeCell ref="B26:H26"/>
    <mergeCell ref="B30:E30"/>
    <mergeCell ref="B23:C23"/>
  </mergeCells>
  <dataValidations disablePrompts="1" count="1">
    <dataValidation type="list" allowBlank="1" showInputMessage="1" showErrorMessage="1" sqref="C4:C10">
      <formula1>fuel_type</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B2:L46"/>
  <sheetViews>
    <sheetView topLeftCell="A7" workbookViewId="0">
      <selection activeCell="F31" sqref="F31"/>
    </sheetView>
  </sheetViews>
  <sheetFormatPr defaultRowHeight="15" x14ac:dyDescent="0.25"/>
  <cols>
    <col min="1" max="1" width="9.140625" style="1"/>
    <col min="2" max="2" width="34.42578125" style="1" customWidth="1"/>
    <col min="3" max="3" width="2" style="1" bestFit="1" customWidth="1"/>
    <col min="4" max="4" width="35.28515625" style="1" customWidth="1"/>
    <col min="5" max="5" width="4.85546875" style="1" customWidth="1"/>
    <col min="6" max="6" width="13.7109375" style="1" bestFit="1" customWidth="1"/>
    <col min="7" max="7" width="24.5703125" style="1" bestFit="1" customWidth="1"/>
    <col min="8" max="16384" width="9.140625" style="1"/>
  </cols>
  <sheetData>
    <row r="2" spans="2:12" ht="18.75" x14ac:dyDescent="0.3">
      <c r="B2" s="315" t="s">
        <v>146</v>
      </c>
      <c r="C2" s="315"/>
      <c r="D2" s="315"/>
      <c r="E2" s="315"/>
      <c r="F2" s="315"/>
      <c r="G2" s="315"/>
      <c r="H2" s="315"/>
      <c r="I2" s="315"/>
    </row>
    <row r="4" spans="2:12" x14ac:dyDescent="0.25">
      <c r="B4" s="14" t="s">
        <v>147</v>
      </c>
      <c r="C4" s="14"/>
      <c r="D4" s="14" t="s">
        <v>418</v>
      </c>
      <c r="E4" s="14" t="s">
        <v>138</v>
      </c>
      <c r="F4" s="94">
        <v>0.9</v>
      </c>
      <c r="G4" s="14" t="s">
        <v>148</v>
      </c>
      <c r="H4" s="1" t="s">
        <v>419</v>
      </c>
    </row>
    <row r="5" spans="2:12" x14ac:dyDescent="0.25">
      <c r="B5" s="14"/>
      <c r="C5" s="14"/>
      <c r="D5" s="14"/>
      <c r="E5" s="14" t="s">
        <v>138</v>
      </c>
      <c r="F5" s="223" t="s">
        <v>328</v>
      </c>
    </row>
    <row r="6" spans="2:12" x14ac:dyDescent="0.25">
      <c r="B6" s="14"/>
      <c r="C6" s="14"/>
      <c r="D6" s="14"/>
      <c r="E6" s="14"/>
      <c r="F6" s="94"/>
    </row>
    <row r="7" spans="2:12" x14ac:dyDescent="0.25">
      <c r="B7" s="14" t="s">
        <v>149</v>
      </c>
      <c r="C7" s="14" t="s">
        <v>138</v>
      </c>
      <c r="D7" s="14" t="s">
        <v>150</v>
      </c>
      <c r="E7" s="14" t="s">
        <v>138</v>
      </c>
      <c r="F7" s="73">
        <f>0.518+(F4*(0.884)*(1-(0.518/0.884)))</f>
        <v>0.84739999999999993</v>
      </c>
      <c r="G7" s="21" t="s">
        <v>420</v>
      </c>
    </row>
    <row r="8" spans="2:12" x14ac:dyDescent="0.25">
      <c r="B8" s="321" t="s">
        <v>423</v>
      </c>
      <c r="C8" s="14"/>
      <c r="D8" s="14"/>
      <c r="E8" s="14" t="s">
        <v>138</v>
      </c>
      <c r="F8" s="94"/>
    </row>
    <row r="9" spans="2:12" x14ac:dyDescent="0.25">
      <c r="B9" s="322"/>
      <c r="C9" s="14"/>
      <c r="D9" s="14" t="s">
        <v>329</v>
      </c>
      <c r="E9" s="14" t="s">
        <v>138</v>
      </c>
      <c r="F9" s="94">
        <v>16</v>
      </c>
    </row>
    <row r="10" spans="2:12" x14ac:dyDescent="0.25">
      <c r="B10" s="323"/>
      <c r="C10" s="14"/>
      <c r="D10" s="14" t="s">
        <v>151</v>
      </c>
      <c r="E10" s="14" t="s">
        <v>138</v>
      </c>
      <c r="F10" s="94">
        <v>17.777777777777779</v>
      </c>
      <c r="G10" s="224" t="s">
        <v>421</v>
      </c>
    </row>
    <row r="14" spans="2:12" x14ac:dyDescent="0.25">
      <c r="G14" s="320" t="s">
        <v>417</v>
      </c>
      <c r="H14" s="320"/>
      <c r="I14" s="320"/>
      <c r="J14" s="320"/>
      <c r="K14" s="320"/>
      <c r="L14" s="320"/>
    </row>
    <row r="15" spans="2:12" x14ac:dyDescent="0.25">
      <c r="B15" s="320" t="s">
        <v>422</v>
      </c>
      <c r="C15" s="320"/>
      <c r="D15" s="320"/>
    </row>
    <row r="17" spans="3:8" x14ac:dyDescent="0.25">
      <c r="C17" s="319"/>
      <c r="D17" s="319"/>
      <c r="E17" s="319"/>
      <c r="F17" s="319"/>
      <c r="G17" s="319"/>
      <c r="H17" s="319"/>
    </row>
    <row r="20" spans="3:8" ht="32.25" customHeight="1" x14ac:dyDescent="0.25">
      <c r="C20" s="318"/>
      <c r="D20" s="318"/>
      <c r="E20" s="49"/>
      <c r="F20" s="50"/>
      <c r="G20" s="50"/>
    </row>
    <row r="21" spans="3:8" ht="30.75" customHeight="1" x14ac:dyDescent="0.25">
      <c r="C21" s="318"/>
      <c r="D21" s="318"/>
      <c r="E21" s="49"/>
      <c r="F21" s="50"/>
      <c r="G21" s="50"/>
    </row>
    <row r="22" spans="3:8" ht="45.75" customHeight="1" x14ac:dyDescent="0.25">
      <c r="C22" s="318"/>
      <c r="D22" s="318"/>
      <c r="E22" s="49"/>
      <c r="F22" s="50"/>
      <c r="G22" s="50"/>
    </row>
    <row r="23" spans="3:8" x14ac:dyDescent="0.25">
      <c r="E23" s="49"/>
      <c r="F23" s="50"/>
      <c r="G23" s="50"/>
    </row>
    <row r="24" spans="3:8" x14ac:dyDescent="0.25">
      <c r="E24" s="49"/>
      <c r="F24" s="51"/>
      <c r="G24" s="51"/>
    </row>
    <row r="25" spans="3:8" x14ac:dyDescent="0.25">
      <c r="F25" s="52"/>
      <c r="G25" s="52"/>
    </row>
    <row r="26" spans="3:8" x14ac:dyDescent="0.25">
      <c r="D26" s="11"/>
      <c r="E26" s="217"/>
      <c r="F26" s="52"/>
      <c r="G26" s="52"/>
    </row>
    <row r="27" spans="3:8" x14ac:dyDescent="0.25">
      <c r="F27" s="53"/>
      <c r="G27" s="53" t="s">
        <v>416</v>
      </c>
    </row>
    <row r="28" spans="3:8" x14ac:dyDescent="0.25">
      <c r="F28" s="52"/>
      <c r="G28" s="222" t="s">
        <v>388</v>
      </c>
    </row>
    <row r="29" spans="3:8" x14ac:dyDescent="0.25">
      <c r="F29" s="52"/>
      <c r="G29" s="52"/>
    </row>
    <row r="30" spans="3:8" x14ac:dyDescent="0.25">
      <c r="F30" s="54"/>
      <c r="G30" s="54"/>
    </row>
    <row r="31" spans="3:8" x14ac:dyDescent="0.25">
      <c r="F31" s="51"/>
      <c r="G31" s="51"/>
    </row>
    <row r="33" spans="2:6" x14ac:dyDescent="0.25">
      <c r="B33" s="1" t="s">
        <v>415</v>
      </c>
    </row>
    <row r="36" spans="2:6" x14ac:dyDescent="0.25">
      <c r="D36" s="303" t="s">
        <v>438</v>
      </c>
      <c r="E36" s="303"/>
      <c r="F36" s="303"/>
    </row>
    <row r="37" spans="2:6" x14ac:dyDescent="0.25">
      <c r="D37" s="2" t="s">
        <v>424</v>
      </c>
      <c r="E37" s="328" t="s">
        <v>425</v>
      </c>
      <c r="F37" s="329"/>
    </row>
    <row r="38" spans="2:6" x14ac:dyDescent="0.25">
      <c r="D38" s="6" t="s">
        <v>426</v>
      </c>
      <c r="E38" s="324" t="s">
        <v>427</v>
      </c>
      <c r="F38" s="325"/>
    </row>
    <row r="39" spans="2:6" x14ac:dyDescent="0.25">
      <c r="D39" s="6" t="s">
        <v>428</v>
      </c>
      <c r="E39" s="326">
        <v>0.56999999999999995</v>
      </c>
      <c r="F39" s="327"/>
    </row>
    <row r="40" spans="2:6" x14ac:dyDescent="0.25">
      <c r="D40" s="6" t="s">
        <v>429</v>
      </c>
      <c r="E40" s="324" t="s">
        <v>430</v>
      </c>
      <c r="F40" s="325"/>
    </row>
    <row r="41" spans="2:6" x14ac:dyDescent="0.25">
      <c r="D41" s="6" t="s">
        <v>431</v>
      </c>
      <c r="E41" s="326">
        <v>0.9</v>
      </c>
      <c r="F41" s="327"/>
    </row>
    <row r="42" spans="2:6" x14ac:dyDescent="0.25">
      <c r="D42" s="6" t="s">
        <v>432</v>
      </c>
      <c r="E42" s="324" t="s">
        <v>433</v>
      </c>
      <c r="F42" s="325"/>
    </row>
    <row r="43" spans="2:6" x14ac:dyDescent="0.25">
      <c r="D43" s="6" t="s">
        <v>434</v>
      </c>
      <c r="E43" s="324" t="s">
        <v>435</v>
      </c>
      <c r="F43" s="325"/>
    </row>
    <row r="44" spans="2:6" x14ac:dyDescent="0.25">
      <c r="D44" s="6" t="s">
        <v>436</v>
      </c>
      <c r="E44" s="324" t="s">
        <v>437</v>
      </c>
      <c r="F44" s="325"/>
    </row>
    <row r="46" spans="2:6" x14ac:dyDescent="0.25">
      <c r="D46" s="21" t="s">
        <v>416</v>
      </c>
    </row>
  </sheetData>
  <mergeCells count="17">
    <mergeCell ref="E42:F42"/>
    <mergeCell ref="E43:F43"/>
    <mergeCell ref="E44:F44"/>
    <mergeCell ref="D36:F36"/>
    <mergeCell ref="E39:F39"/>
    <mergeCell ref="E41:F41"/>
    <mergeCell ref="E37:F37"/>
    <mergeCell ref="E38:F38"/>
    <mergeCell ref="E40:F40"/>
    <mergeCell ref="C20:D20"/>
    <mergeCell ref="C21:D21"/>
    <mergeCell ref="C22:D22"/>
    <mergeCell ref="B2:I2"/>
    <mergeCell ref="C17:H17"/>
    <mergeCell ref="B15:D15"/>
    <mergeCell ref="G14:L14"/>
    <mergeCell ref="B8:B10"/>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B2:J38"/>
  <sheetViews>
    <sheetView zoomScale="83" zoomScaleNormal="83" workbookViewId="0">
      <selection activeCell="G46" sqref="G46"/>
    </sheetView>
  </sheetViews>
  <sheetFormatPr defaultRowHeight="15" x14ac:dyDescent="0.25"/>
  <cols>
    <col min="1" max="1" width="9.140625" style="1"/>
    <col min="2" max="2" width="11.42578125" style="1" customWidth="1"/>
    <col min="3" max="3" width="10.5703125" style="1" customWidth="1"/>
    <col min="4" max="4" width="10.42578125" style="1" customWidth="1"/>
    <col min="5" max="5" width="10.140625" style="1" customWidth="1"/>
    <col min="6" max="6" width="11.85546875" style="1" customWidth="1"/>
    <col min="7" max="7" width="14.28515625" style="1" customWidth="1"/>
    <col min="8" max="8" width="12.7109375" style="1" customWidth="1"/>
    <col min="9" max="9" width="12.85546875" style="1" customWidth="1"/>
    <col min="10" max="10" width="16.28515625" style="1" customWidth="1"/>
    <col min="11" max="16384" width="9.140625" style="1"/>
  </cols>
  <sheetData>
    <row r="2" spans="2:10" ht="18.75" x14ac:dyDescent="0.3">
      <c r="B2" s="315" t="s">
        <v>286</v>
      </c>
      <c r="C2" s="315"/>
      <c r="D2" s="315"/>
      <c r="E2" s="315"/>
      <c r="F2" s="315"/>
      <c r="G2" s="315"/>
      <c r="H2" s="315"/>
      <c r="I2" s="315"/>
      <c r="J2" s="315"/>
    </row>
    <row r="3" spans="2:10" ht="44.25" customHeight="1" x14ac:dyDescent="0.25">
      <c r="B3" s="14" t="s">
        <v>71</v>
      </c>
      <c r="C3" s="13" t="s">
        <v>52</v>
      </c>
      <c r="D3" s="14" t="s">
        <v>94</v>
      </c>
      <c r="E3" s="14" t="s">
        <v>95</v>
      </c>
      <c r="F3" s="14" t="s">
        <v>96</v>
      </c>
      <c r="G3" s="14" t="s">
        <v>97</v>
      </c>
      <c r="H3" s="14" t="s">
        <v>104</v>
      </c>
      <c r="I3" s="14" t="s">
        <v>110</v>
      </c>
      <c r="J3" s="14" t="s">
        <v>111</v>
      </c>
    </row>
    <row r="4" spans="2:10" x14ac:dyDescent="0.25">
      <c r="B4" s="14" t="s">
        <v>77</v>
      </c>
      <c r="C4" s="6" t="s">
        <v>78</v>
      </c>
      <c r="D4" s="71">
        <f>'CMP Data Input'!G9*'BAU Assumptions'!G59</f>
        <v>96904</v>
      </c>
      <c r="E4" s="72">
        <f>'CMP Data Input'!E21</f>
        <v>6</v>
      </c>
      <c r="F4" s="73">
        <f>'Emissions Factors'!J16</f>
        <v>12.68778136947704</v>
      </c>
      <c r="G4" s="73">
        <f>(1-E35/100)</f>
        <v>1.5776768253613778</v>
      </c>
      <c r="H4" s="73">
        <f>F4*G4</f>
        <v>20.017218631875771</v>
      </c>
      <c r="I4" s="73">
        <f>D4*E4*F4/1000000</f>
        <v>7.3769805949668186</v>
      </c>
      <c r="J4" s="73">
        <f t="shared" ref="J4:J22" si="0">D4*E4*H4/1000000</f>
        <v>11.638491325819738</v>
      </c>
    </row>
    <row r="5" spans="2:10" x14ac:dyDescent="0.25">
      <c r="B5" s="14" t="s">
        <v>82</v>
      </c>
      <c r="C5" s="6" t="s">
        <v>53</v>
      </c>
      <c r="D5" s="72">
        <f>'CMP Data Input'!G11*'BAU Assumptions'!G60</f>
        <v>35841</v>
      </c>
      <c r="E5" s="72">
        <f>'CMP Data Input'!E22</f>
        <v>9.5</v>
      </c>
      <c r="F5" s="73">
        <f>'Emissions Factors'!J17</f>
        <v>23.215973844106006</v>
      </c>
      <c r="G5" s="73">
        <f>1-E36/100</f>
        <v>1.5776768253613778</v>
      </c>
      <c r="H5" s="73">
        <f t="shared" ref="H5:H20" si="1">F5*G5</f>
        <v>36.627303912041945</v>
      </c>
      <c r="I5" s="73">
        <f t="shared" ref="I5:I22" si="2">D5*E5*F5/1000000</f>
        <v>7.9047953261927324</v>
      </c>
      <c r="J5" s="73">
        <f t="shared" si="0"/>
        <v>12.471212395359204</v>
      </c>
    </row>
    <row r="6" spans="2:10" x14ac:dyDescent="0.25">
      <c r="B6" s="14" t="s">
        <v>82</v>
      </c>
      <c r="C6" s="6" t="s">
        <v>55</v>
      </c>
      <c r="D6" s="72">
        <f>'CMP Data Input'!G11*'BAU Assumptions'!G61</f>
        <v>0</v>
      </c>
      <c r="E6" s="72">
        <f>'CMP Data Input'!E22</f>
        <v>9.5</v>
      </c>
      <c r="F6" s="73">
        <f>'Emissions Factors'!J18</f>
        <v>24.442834250501853</v>
      </c>
      <c r="G6" s="73">
        <f>G5</f>
        <v>1.5776768253613778</v>
      </c>
      <c r="H6" s="73">
        <f t="shared" si="1"/>
        <v>38.562893143166114</v>
      </c>
      <c r="I6" s="73">
        <f t="shared" si="2"/>
        <v>0</v>
      </c>
      <c r="J6" s="73">
        <f t="shared" si="0"/>
        <v>0</v>
      </c>
    </row>
    <row r="7" spans="2:10" x14ac:dyDescent="0.25">
      <c r="B7" s="14" t="s">
        <v>82</v>
      </c>
      <c r="C7" s="6" t="s">
        <v>81</v>
      </c>
      <c r="D7" s="72">
        <f>'CMP Data Input'!G11*'BAU Assumptions'!G62</f>
        <v>0</v>
      </c>
      <c r="E7" s="72">
        <f>'CMP Data Input'!E22</f>
        <v>9.5</v>
      </c>
      <c r="F7" s="73">
        <f>'Emissions Factors'!J19</f>
        <v>17.166608301800338</v>
      </c>
      <c r="G7" s="73">
        <f>G6</f>
        <v>1.5776768253613778</v>
      </c>
      <c r="H7" s="73">
        <f t="shared" si="1"/>
        <v>27.083360087806629</v>
      </c>
      <c r="I7" s="73">
        <f t="shared" si="2"/>
        <v>0</v>
      </c>
      <c r="J7" s="73">
        <f t="shared" si="0"/>
        <v>0</v>
      </c>
    </row>
    <row r="8" spans="2:10" ht="45" x14ac:dyDescent="0.25">
      <c r="B8" s="14" t="s">
        <v>92</v>
      </c>
      <c r="C8" s="6" t="s">
        <v>54</v>
      </c>
      <c r="D8" s="72">
        <f>'CMP Data Input'!$D$11*'BAU Assumptions'!G63</f>
        <v>0</v>
      </c>
      <c r="E8" s="72">
        <f>'CMP Data Input'!E22</f>
        <v>9.5</v>
      </c>
      <c r="F8" s="73">
        <f>'Emissions Factors'!J20</f>
        <v>41.401820021989053</v>
      </c>
      <c r="G8" s="73">
        <f>G7</f>
        <v>1.5776768253613778</v>
      </c>
      <c r="H8" s="73">
        <f t="shared" si="1"/>
        <v>65.31869197647481</v>
      </c>
      <c r="I8" s="73">
        <f t="shared" si="2"/>
        <v>0</v>
      </c>
      <c r="J8" s="73">
        <f t="shared" si="0"/>
        <v>0</v>
      </c>
    </row>
    <row r="9" spans="2:10" x14ac:dyDescent="0.25">
      <c r="B9" s="14" t="s">
        <v>24</v>
      </c>
      <c r="C9" s="6" t="s">
        <v>78</v>
      </c>
      <c r="D9" s="72">
        <f>'CMP Data Input'!G10*'BAU Assumptions'!G64</f>
        <v>143763</v>
      </c>
      <c r="E9" s="72">
        <f>'CMP Data Input'!$E$21</f>
        <v>6</v>
      </c>
      <c r="F9" s="73">
        <f>'Emissions Factors'!J21</f>
        <v>54.40654032978501</v>
      </c>
      <c r="G9" s="73">
        <f>1-E37/100</f>
        <v>1.4927340610508377</v>
      </c>
      <c r="H9" s="73">
        <f t="shared" si="1"/>
        <v>81.214495894206166</v>
      </c>
      <c r="I9" s="73">
        <f t="shared" si="2"/>
        <v>46.929884744585287</v>
      </c>
      <c r="J9" s="73">
        <f t="shared" si="0"/>
        <v>70.053837439432556</v>
      </c>
    </row>
    <row r="10" spans="2:10" x14ac:dyDescent="0.25">
      <c r="B10" s="14" t="s">
        <v>24</v>
      </c>
      <c r="C10" s="6" t="s">
        <v>79</v>
      </c>
      <c r="D10" s="72">
        <f>'CMP Data Input'!G10*'BAU Assumptions'!G65</f>
        <v>0</v>
      </c>
      <c r="E10" s="72">
        <f>'CMP Data Input'!$E$21</f>
        <v>6</v>
      </c>
      <c r="F10" s="73">
        <f>'Emissions Factors'!J22</f>
        <v>48.621421644241522</v>
      </c>
      <c r="G10" s="73">
        <f t="shared" ref="G10:G15" si="3">G9</f>
        <v>1.4927340610508377</v>
      </c>
      <c r="H10" s="73">
        <f t="shared" si="1"/>
        <v>72.578852185073742</v>
      </c>
      <c r="I10" s="73">
        <f t="shared" si="2"/>
        <v>0</v>
      </c>
      <c r="J10" s="73">
        <f t="shared" si="0"/>
        <v>0</v>
      </c>
    </row>
    <row r="11" spans="2:10" x14ac:dyDescent="0.25">
      <c r="B11" s="14" t="s">
        <v>24</v>
      </c>
      <c r="C11" s="6" t="s">
        <v>55</v>
      </c>
      <c r="D11" s="72">
        <f>'CMP Data Input'!G10*'BAU Assumptions'!G66</f>
        <v>0</v>
      </c>
      <c r="E11" s="72">
        <f>'CMP Data Input'!$E$21</f>
        <v>6</v>
      </c>
      <c r="F11" s="73">
        <f>'Emissions Factors'!J23</f>
        <v>41.269696593607954</v>
      </c>
      <c r="G11" s="73">
        <f t="shared" si="3"/>
        <v>1.4927340610508377</v>
      </c>
      <c r="H11" s="73">
        <f t="shared" si="1"/>
        <v>61.604681794512324</v>
      </c>
      <c r="I11" s="73">
        <f t="shared" si="2"/>
        <v>0</v>
      </c>
      <c r="J11" s="73">
        <f t="shared" si="0"/>
        <v>0</v>
      </c>
    </row>
    <row r="12" spans="2:10" x14ac:dyDescent="0.25">
      <c r="B12" s="14" t="s">
        <v>26</v>
      </c>
      <c r="C12" s="6" t="s">
        <v>78</v>
      </c>
      <c r="D12" s="72">
        <f>'CMP Data Input'!G12*'BAU Assumptions'!G67</f>
        <v>0</v>
      </c>
      <c r="E12" s="72">
        <f>'CMP Data Input'!$E$22</f>
        <v>9.5</v>
      </c>
      <c r="F12" s="73">
        <f>'Emissions Factors'!J24</f>
        <v>54.40654032978501</v>
      </c>
      <c r="G12" s="73">
        <f t="shared" si="3"/>
        <v>1.4927340610508377</v>
      </c>
      <c r="H12" s="73">
        <f t="shared" si="1"/>
        <v>81.214495894206166</v>
      </c>
      <c r="I12" s="73">
        <f t="shared" si="2"/>
        <v>0</v>
      </c>
      <c r="J12" s="73">
        <f t="shared" si="0"/>
        <v>0</v>
      </c>
    </row>
    <row r="13" spans="2:10" x14ac:dyDescent="0.25">
      <c r="B13" s="14" t="s">
        <v>26</v>
      </c>
      <c r="C13" s="6" t="s">
        <v>79</v>
      </c>
      <c r="D13" s="72">
        <f>'CMP Data Input'!G12*'BAU Assumptions'!G68</f>
        <v>52826</v>
      </c>
      <c r="E13" s="72">
        <f>'CMP Data Input'!$E$22</f>
        <v>9.5</v>
      </c>
      <c r="F13" s="73">
        <f>'Emissions Factors'!J25</f>
        <v>46.796860014216932</v>
      </c>
      <c r="G13" s="73">
        <f t="shared" si="3"/>
        <v>1.4927340610508377</v>
      </c>
      <c r="H13" s="73">
        <f t="shared" si="1"/>
        <v>69.85526689344961</v>
      </c>
      <c r="I13" s="73">
        <f t="shared" si="2"/>
        <v>23.484863807554724</v>
      </c>
      <c r="J13" s="73">
        <f t="shared" si="0"/>
        <v>35.056656124677012</v>
      </c>
    </row>
    <row r="14" spans="2:10" x14ac:dyDescent="0.25">
      <c r="B14" s="14" t="s">
        <v>80</v>
      </c>
      <c r="C14" s="6" t="s">
        <v>55</v>
      </c>
      <c r="D14" s="72">
        <f>'CMP Data Input'!G12*'BAU Assumptions'!G69</f>
        <v>0</v>
      </c>
      <c r="E14" s="72">
        <f>'CMP Data Input'!$E$22</f>
        <v>9.5</v>
      </c>
      <c r="F14" s="73">
        <f>'Emissions Factors'!J26</f>
        <v>41.269696593607954</v>
      </c>
      <c r="G14" s="73">
        <f t="shared" si="3"/>
        <v>1.4927340610508377</v>
      </c>
      <c r="H14" s="73">
        <f t="shared" si="1"/>
        <v>61.604681794512324</v>
      </c>
      <c r="I14" s="73">
        <f t="shared" si="2"/>
        <v>0</v>
      </c>
      <c r="J14" s="73">
        <f t="shared" si="0"/>
        <v>0</v>
      </c>
    </row>
    <row r="15" spans="2:10" x14ac:dyDescent="0.25">
      <c r="B15" s="14" t="s">
        <v>26</v>
      </c>
      <c r="C15" s="6" t="s">
        <v>81</v>
      </c>
      <c r="D15" s="72">
        <f>'CMP Data Input'!G12*'BAU Assumptions'!G70</f>
        <v>0</v>
      </c>
      <c r="E15" s="72">
        <f>'CMP Data Input'!$E$22</f>
        <v>9.5</v>
      </c>
      <c r="F15" s="73">
        <f>'Emissions Factors'!J27</f>
        <v>44.056871773266217</v>
      </c>
      <c r="G15" s="73">
        <f t="shared" si="3"/>
        <v>1.4927340610508377</v>
      </c>
      <c r="H15" s="73">
        <f t="shared" si="1"/>
        <v>65.765193119303703</v>
      </c>
      <c r="I15" s="73">
        <f t="shared" si="2"/>
        <v>0</v>
      </c>
      <c r="J15" s="73">
        <f t="shared" si="0"/>
        <v>0</v>
      </c>
    </row>
    <row r="16" spans="2:10" x14ac:dyDescent="0.25">
      <c r="B16" s="14" t="s">
        <v>76</v>
      </c>
      <c r="C16" s="6" t="s">
        <v>54</v>
      </c>
      <c r="D16" s="72">
        <f>'CMP Data Input'!G15*'BAU Assumptions'!G71</f>
        <v>0</v>
      </c>
      <c r="E16" s="72">
        <f>'CMP Data Input'!$E$23</f>
        <v>13</v>
      </c>
      <c r="F16" s="73">
        <f>'Emissions Factors'!J28</f>
        <v>16.409257935544439</v>
      </c>
      <c r="G16" s="73">
        <f>1-E38/100</f>
        <v>1.5665628031218251</v>
      </c>
      <c r="H16" s="73">
        <f t="shared" si="1"/>
        <v>25.706133108655546</v>
      </c>
      <c r="I16" s="73">
        <f t="shared" si="2"/>
        <v>0</v>
      </c>
      <c r="J16" s="73">
        <f t="shared" si="0"/>
        <v>0</v>
      </c>
    </row>
    <row r="17" spans="2:10" x14ac:dyDescent="0.25">
      <c r="B17" s="14" t="s">
        <v>38</v>
      </c>
      <c r="C17" s="6" t="s">
        <v>54</v>
      </c>
      <c r="D17" s="72">
        <f>'CMP Data Input'!G15*'BAU Assumptions'!G72</f>
        <v>101333.00000000001</v>
      </c>
      <c r="E17" s="72">
        <f>'CMP Data Input'!$E$23</f>
        <v>13</v>
      </c>
      <c r="F17" s="73">
        <f>'Emissions Factors'!J29</f>
        <v>11.222591969320225</v>
      </c>
      <c r="G17" s="73">
        <f>G16</f>
        <v>1.5665628031218251</v>
      </c>
      <c r="H17" s="73">
        <f t="shared" si="1"/>
        <v>17.580895133750776</v>
      </c>
      <c r="I17" s="73">
        <f t="shared" si="2"/>
        <v>14.783845856352645</v>
      </c>
      <c r="J17" s="73">
        <f t="shared" si="0"/>
        <v>23.159823005648782</v>
      </c>
    </row>
    <row r="18" spans="2:10" x14ac:dyDescent="0.25">
      <c r="B18" s="14" t="s">
        <v>38</v>
      </c>
      <c r="C18" s="6" t="s">
        <v>55</v>
      </c>
      <c r="D18" s="72">
        <f>'CMP Data Input'!G15*'BAU Assumptions'!G73</f>
        <v>0</v>
      </c>
      <c r="E18" s="72">
        <f>'CMP Data Input'!$E$23</f>
        <v>13</v>
      </c>
      <c r="F18" s="73">
        <f>'Emissions Factors'!J30</f>
        <v>14.658709892714812</v>
      </c>
      <c r="G18" s="73">
        <f>G17</f>
        <v>1.5665628031218251</v>
      </c>
      <c r="H18" s="73">
        <f t="shared" si="1"/>
        <v>22.963789659680945</v>
      </c>
      <c r="I18" s="73">
        <f t="shared" si="2"/>
        <v>0</v>
      </c>
      <c r="J18" s="73">
        <f t="shared" si="0"/>
        <v>0</v>
      </c>
    </row>
    <row r="19" spans="2:10" x14ac:dyDescent="0.25">
      <c r="B19" s="14" t="s">
        <v>1</v>
      </c>
      <c r="C19" s="6" t="s">
        <v>54</v>
      </c>
      <c r="D19" s="71">
        <f>'CMP Data Input'!G18*'BAU Assumptions'!G74</f>
        <v>31666.562499999993</v>
      </c>
      <c r="E19" s="72">
        <f>'CMP Data Input'!$E$23</f>
        <v>13</v>
      </c>
      <c r="F19" s="73">
        <f>'Emissions Factors'!J31</f>
        <v>11.222591969320225</v>
      </c>
      <c r="G19" s="73">
        <f>G18</f>
        <v>1.5665628031218251</v>
      </c>
      <c r="H19" s="73">
        <f t="shared" si="1"/>
        <v>17.580895133750776</v>
      </c>
      <c r="I19" s="73">
        <f t="shared" si="2"/>
        <v>4.6199518301101996</v>
      </c>
      <c r="J19" s="73">
        <f t="shared" si="0"/>
        <v>7.2374446892652404</v>
      </c>
    </row>
    <row r="20" spans="2:10" x14ac:dyDescent="0.25">
      <c r="B20" s="14" t="s">
        <v>1</v>
      </c>
      <c r="C20" s="6" t="s">
        <v>55</v>
      </c>
      <c r="D20" s="72">
        <f>'CMP Data Input'!G18*'BAU Assumptions'!G75</f>
        <v>0</v>
      </c>
      <c r="E20" s="72">
        <f>'CMP Data Input'!$E$23</f>
        <v>13</v>
      </c>
      <c r="F20" s="73">
        <f>'Emissions Factors'!J32</f>
        <v>14.658709892714812</v>
      </c>
      <c r="G20" s="73">
        <f>G19</f>
        <v>1.5665628031218251</v>
      </c>
      <c r="H20" s="73">
        <f t="shared" si="1"/>
        <v>22.963789659680945</v>
      </c>
      <c r="I20" s="73">
        <f t="shared" si="2"/>
        <v>0</v>
      </c>
      <c r="J20" s="73">
        <f t="shared" si="0"/>
        <v>0</v>
      </c>
    </row>
    <row r="21" spans="2:10" x14ac:dyDescent="0.25">
      <c r="B21" s="14" t="s">
        <v>2</v>
      </c>
      <c r="C21" s="6" t="s">
        <v>67</v>
      </c>
      <c r="D21" s="72">
        <f>'CMP Data Input'!G19*'BAU Assumptions'!G76</f>
        <v>101332.99999999898</v>
      </c>
      <c r="E21" s="72">
        <f>'CMP Data Input'!$E$23</f>
        <v>13</v>
      </c>
      <c r="F21" s="73">
        <f>'Emissions Factors'!G33</f>
        <v>53.68</v>
      </c>
      <c r="G21" s="73">
        <v>1</v>
      </c>
      <c r="H21" s="73">
        <f>F21*G21</f>
        <v>53.68</v>
      </c>
      <c r="I21" s="73">
        <f t="shared" si="2"/>
        <v>70.71422071999929</v>
      </c>
      <c r="J21" s="73">
        <f t="shared" si="0"/>
        <v>70.71422071999929</v>
      </c>
    </row>
    <row r="22" spans="2:10" x14ac:dyDescent="0.25">
      <c r="B22" s="14" t="s">
        <v>114</v>
      </c>
      <c r="C22" s="6" t="s">
        <v>67</v>
      </c>
      <c r="D22" s="71">
        <f>'CMP Data Input'!G17*'BAU Assumptions'!G77</f>
        <v>18999.937500000018</v>
      </c>
      <c r="E22" s="72">
        <f>'CMP Data Input'!$E$23</f>
        <v>13</v>
      </c>
      <c r="F22" s="73">
        <f>'Emissions Factors'!G34</f>
        <v>61</v>
      </c>
      <c r="G22" s="73">
        <v>1</v>
      </c>
      <c r="H22" s="73">
        <f>F22*G22</f>
        <v>61</v>
      </c>
      <c r="I22" s="73">
        <f t="shared" si="2"/>
        <v>15.066950437500015</v>
      </c>
      <c r="J22" s="73">
        <f t="shared" si="0"/>
        <v>15.066950437500015</v>
      </c>
    </row>
    <row r="23" spans="2:10" x14ac:dyDescent="0.25">
      <c r="B23" s="317" t="s">
        <v>287</v>
      </c>
      <c r="C23" s="317"/>
      <c r="D23" s="75">
        <f>SUM(D4:D22)</f>
        <v>582666.49999999895</v>
      </c>
      <c r="E23" s="22"/>
      <c r="F23" s="23"/>
      <c r="G23" s="23"/>
      <c r="H23" s="24"/>
      <c r="I23" s="10"/>
      <c r="J23" s="10"/>
    </row>
    <row r="24" spans="2:10" x14ac:dyDescent="0.25">
      <c r="B24" s="307" t="s">
        <v>107</v>
      </c>
      <c r="C24" s="316"/>
      <c r="D24" s="316"/>
      <c r="E24" s="316"/>
      <c r="F24" s="316"/>
      <c r="G24" s="316"/>
      <c r="H24" s="308"/>
      <c r="I24" s="73">
        <f>SUM(I4:I20)</f>
        <v>105.1003221597624</v>
      </c>
      <c r="J24" s="73">
        <f>SUM(J4:J21)</f>
        <v>230.33168570020183</v>
      </c>
    </row>
    <row r="25" spans="2:10" x14ac:dyDescent="0.25">
      <c r="B25" s="317" t="s">
        <v>108</v>
      </c>
      <c r="C25" s="317"/>
      <c r="D25" s="317"/>
      <c r="E25" s="317"/>
      <c r="F25" s="317"/>
      <c r="G25" s="317"/>
      <c r="H25" s="317"/>
      <c r="I25" s="73">
        <f>I24/'CMP Data Input'!N37</f>
        <v>1581.1862699446167</v>
      </c>
      <c r="J25" s="73">
        <f>J24/'CMP Data Input'!N37</f>
        <v>3465.2348487452177</v>
      </c>
    </row>
    <row r="26" spans="2:10" x14ac:dyDescent="0.25">
      <c r="B26" s="317" t="s">
        <v>109</v>
      </c>
      <c r="C26" s="317"/>
      <c r="D26" s="317"/>
      <c r="E26" s="317"/>
      <c r="F26" s="317"/>
      <c r="G26" s="317"/>
      <c r="H26" s="317"/>
      <c r="I26" s="73">
        <f>I25*365</f>
        <v>577132.98852978507</v>
      </c>
      <c r="J26" s="73">
        <f>J25*365</f>
        <v>1264810.7197920044</v>
      </c>
    </row>
    <row r="27" spans="2:10" x14ac:dyDescent="0.25">
      <c r="B27" s="20"/>
      <c r="C27" s="20"/>
      <c r="D27" s="20"/>
      <c r="E27" s="20"/>
      <c r="F27" s="20"/>
      <c r="G27" s="20"/>
      <c r="H27" s="20"/>
    </row>
    <row r="30" spans="2:10" x14ac:dyDescent="0.25">
      <c r="B30" s="317" t="s">
        <v>105</v>
      </c>
      <c r="C30" s="317"/>
      <c r="D30" s="317"/>
      <c r="E30" s="317"/>
    </row>
    <row r="31" spans="2:10" x14ac:dyDescent="0.25">
      <c r="B31" s="317" t="str">
        <f>'CMP Data Input'!B24</f>
        <v>Average Network Speed</v>
      </c>
      <c r="C31" s="317"/>
      <c r="D31" s="317"/>
      <c r="E31" s="72">
        <f>'Induced Demand'!F10</f>
        <v>17.777777777777779</v>
      </c>
    </row>
    <row r="32" spans="2:10" x14ac:dyDescent="0.25">
      <c r="B32" s="317" t="s">
        <v>101</v>
      </c>
      <c r="C32" s="317"/>
      <c r="D32" s="317"/>
      <c r="E32" s="72">
        <f>ROUNDDOWN(E31/5,0)*5</f>
        <v>15</v>
      </c>
    </row>
    <row r="33" spans="2:5" x14ac:dyDescent="0.25">
      <c r="B33" s="317" t="s">
        <v>102</v>
      </c>
      <c r="C33" s="317"/>
      <c r="D33" s="317"/>
      <c r="E33" s="72">
        <f>E32+5</f>
        <v>20</v>
      </c>
    </row>
    <row r="34" spans="2:5" ht="44.25" customHeight="1" x14ac:dyDescent="0.25">
      <c r="B34" s="14" t="s">
        <v>283</v>
      </c>
      <c r="C34" s="14" t="s">
        <v>100</v>
      </c>
      <c r="D34" s="14" t="s">
        <v>98</v>
      </c>
      <c r="E34" s="14" t="s">
        <v>103</v>
      </c>
    </row>
    <row r="35" spans="2:5" x14ac:dyDescent="0.25">
      <c r="B35" s="14" t="s">
        <v>84</v>
      </c>
      <c r="C35" s="73">
        <f>VLOOKUP($E$32, speed_emission_rel, 2, FALSE)</f>
        <v>-69.521663134167142</v>
      </c>
      <c r="D35" s="73">
        <f>VLOOKUP($E33, speed_emission_rel, 2, FALSE)</f>
        <v>-43.075206788601058</v>
      </c>
      <c r="E35" s="73">
        <f>C35+(D35-C35)/5*($E$33-$E$31)</f>
        <v>-57.767682536137777</v>
      </c>
    </row>
    <row r="36" spans="2:5" x14ac:dyDescent="0.25">
      <c r="B36" s="14" t="s">
        <v>85</v>
      </c>
      <c r="C36" s="73">
        <f>VLOOKUP($E$32, speed_emission_rel, 3, FALSE)</f>
        <v>-69.521663134167142</v>
      </c>
      <c r="D36" s="73">
        <f>VLOOKUP($E33, speed_emission_rel, 3, FALSE)</f>
        <v>-43.075206788601058</v>
      </c>
      <c r="E36" s="73">
        <f>C36+(D36-C36)/5*($E$33-$E$31)</f>
        <v>-57.767682536137777</v>
      </c>
    </row>
    <row r="37" spans="2:5" x14ac:dyDescent="0.25">
      <c r="B37" s="14" t="s">
        <v>99</v>
      </c>
      <c r="C37" s="73">
        <f>VLOOKUP($E$32, speed_emission_rel, 4, FALSE)</f>
        <v>-61.190883078980313</v>
      </c>
      <c r="D37" s="73">
        <f>VLOOKUP($E33, speed_emission_rel, 4, FALSE)</f>
        <v>-34.376559887713093</v>
      </c>
      <c r="E37" s="73">
        <f>C37+(D37-C37)/5*($E$33-$E$31)</f>
        <v>-49.273406105083779</v>
      </c>
    </row>
    <row r="38" spans="2:5" x14ac:dyDescent="0.25">
      <c r="B38" s="14" t="s">
        <v>39</v>
      </c>
      <c r="C38" s="73">
        <f>VLOOKUP($E$32, speed_emission_rel, 6, FALSE)</f>
        <v>-61.190883078980313</v>
      </c>
      <c r="D38" s="73">
        <f>VLOOKUP($E$33, speed_emission_rel, 6, FALSE)</f>
        <v>-50.988026853685248</v>
      </c>
      <c r="E38" s="73">
        <f>C38+(D38-C38)/5*($E$33-$E$31)</f>
        <v>-56.65628031218251</v>
      </c>
    </row>
  </sheetData>
  <mergeCells count="9">
    <mergeCell ref="B30:E30"/>
    <mergeCell ref="B31:D31"/>
    <mergeCell ref="B32:D32"/>
    <mergeCell ref="B33:D33"/>
    <mergeCell ref="B2:J2"/>
    <mergeCell ref="B24:H24"/>
    <mergeCell ref="B25:H25"/>
    <mergeCell ref="B26:H26"/>
    <mergeCell ref="B23:C23"/>
  </mergeCells>
  <dataValidations disablePrompts="1" count="1">
    <dataValidation type="list" allowBlank="1" showInputMessage="1" showErrorMessage="1" sqref="C4:C10">
      <formula1>fuel_type</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I354"/>
  <sheetViews>
    <sheetView topLeftCell="A55" zoomScale="82" zoomScaleNormal="82" workbookViewId="0">
      <selection activeCell="C94" sqref="C94"/>
    </sheetView>
  </sheetViews>
  <sheetFormatPr defaultRowHeight="15" x14ac:dyDescent="0.25"/>
  <cols>
    <col min="1" max="1" width="9.140625" style="128"/>
    <col min="2" max="2" width="43.140625" style="128" customWidth="1"/>
    <col min="3" max="3" width="49.140625" style="128" customWidth="1"/>
    <col min="4" max="4" width="16.140625" style="130" bestFit="1" customWidth="1"/>
    <col min="5" max="6" width="9.140625" style="128"/>
    <col min="7" max="7" width="14.28515625" style="128" customWidth="1"/>
    <col min="8" max="8" width="29.140625" style="128" customWidth="1"/>
    <col min="9" max="10" width="11.5703125" style="128" customWidth="1"/>
    <col min="11" max="16384" width="9.140625" style="128"/>
  </cols>
  <sheetData>
    <row r="1" spans="2:9" x14ac:dyDescent="0.25">
      <c r="B1" s="140"/>
      <c r="C1" s="140"/>
      <c r="D1" s="218"/>
    </row>
    <row r="2" spans="2:9" ht="16.5" customHeight="1" x14ac:dyDescent="0.25">
      <c r="B2" s="140"/>
      <c r="C2" s="140"/>
      <c r="D2" s="218"/>
    </row>
    <row r="3" spans="2:9" ht="16.5" customHeight="1" x14ac:dyDescent="0.3">
      <c r="B3" s="294" t="s">
        <v>387</v>
      </c>
      <c r="C3" s="294"/>
      <c r="D3" s="294"/>
      <c r="E3" s="59"/>
      <c r="F3" s="59"/>
      <c r="G3" s="59"/>
    </row>
    <row r="4" spans="2:9" ht="16.5" customHeight="1" x14ac:dyDescent="0.25">
      <c r="B4" s="116" t="s">
        <v>208</v>
      </c>
      <c r="C4" s="117">
        <v>0.25</v>
      </c>
      <c r="D4" s="220"/>
      <c r="E4" s="219" t="s">
        <v>331</v>
      </c>
      <c r="F4" s="122"/>
      <c r="G4" s="59"/>
    </row>
    <row r="5" spans="2:9" ht="16.5" customHeight="1" x14ac:dyDescent="0.25">
      <c r="B5" s="116" t="s">
        <v>210</v>
      </c>
      <c r="C5" s="117">
        <v>0.5</v>
      </c>
      <c r="D5" s="221"/>
      <c r="E5" s="219" t="s">
        <v>332</v>
      </c>
      <c r="F5" s="59"/>
      <c r="G5" s="59"/>
    </row>
    <row r="6" spans="2:9" ht="16.5" customHeight="1" x14ac:dyDescent="0.25">
      <c r="B6" s="90" t="s">
        <v>209</v>
      </c>
      <c r="C6" s="113">
        <f>C4*(1-C5)</f>
        <v>0.125</v>
      </c>
      <c r="D6" s="61" t="s">
        <v>330</v>
      </c>
      <c r="E6" s="59"/>
      <c r="F6" s="59"/>
      <c r="G6" s="59"/>
    </row>
    <row r="7" spans="2:9" ht="16.5" customHeight="1" x14ac:dyDescent="0.25">
      <c r="B7" s="90" t="s">
        <v>211</v>
      </c>
      <c r="C7" s="113">
        <f>1/(1-(C4-C6))-1</f>
        <v>0.14285714285714279</v>
      </c>
      <c r="D7" s="61" t="s">
        <v>330</v>
      </c>
      <c r="E7" s="59"/>
      <c r="F7" s="59"/>
      <c r="G7" s="59"/>
    </row>
    <row r="8" spans="2:9" ht="16.5" customHeight="1" x14ac:dyDescent="0.3">
      <c r="B8" s="330" t="s">
        <v>212</v>
      </c>
      <c r="C8" s="331"/>
      <c r="D8" s="357"/>
      <c r="E8" s="59"/>
      <c r="F8" s="59"/>
      <c r="G8" s="337" t="s">
        <v>374</v>
      </c>
      <c r="H8" s="163" t="s">
        <v>272</v>
      </c>
      <c r="I8" s="164">
        <f>D55</f>
        <v>2.0360377838166806E-2</v>
      </c>
    </row>
    <row r="9" spans="2:9" ht="16.5" customHeight="1" x14ac:dyDescent="0.25">
      <c r="B9" s="90" t="s">
        <v>213</v>
      </c>
      <c r="C9" s="72" t="s">
        <v>216</v>
      </c>
      <c r="D9" s="61"/>
      <c r="E9" s="59"/>
      <c r="F9" s="59"/>
      <c r="G9" s="338"/>
      <c r="H9" s="137" t="s">
        <v>273</v>
      </c>
      <c r="I9" s="165">
        <f>D77</f>
        <v>0.13989003591588042</v>
      </c>
    </row>
    <row r="10" spans="2:9" ht="16.5" customHeight="1" x14ac:dyDescent="0.25">
      <c r="B10" s="90" t="s">
        <v>214</v>
      </c>
      <c r="C10" s="72" t="s">
        <v>215</v>
      </c>
      <c r="D10" s="61"/>
      <c r="E10" s="59"/>
      <c r="F10" s="59"/>
      <c r="G10" s="339"/>
      <c r="H10" s="166" t="s">
        <v>274</v>
      </c>
      <c r="I10" s="167">
        <f>D79</f>
        <v>7.7749456735987325E-3</v>
      </c>
    </row>
    <row r="11" spans="2:9" ht="18.75" x14ac:dyDescent="0.3">
      <c r="B11" s="90" t="s">
        <v>187</v>
      </c>
      <c r="C11" s="62">
        <v>0.1</v>
      </c>
      <c r="D11" s="61"/>
      <c r="E11" s="59"/>
      <c r="F11" s="59"/>
      <c r="G11" s="358" t="s">
        <v>398</v>
      </c>
      <c r="H11" s="358"/>
      <c r="I11" s="235">
        <f>SUM(I8:I10)</f>
        <v>0.16802535942764596</v>
      </c>
    </row>
    <row r="12" spans="2:9" ht="32.25" x14ac:dyDescent="0.3">
      <c r="B12" s="330" t="s">
        <v>223</v>
      </c>
      <c r="C12" s="331"/>
      <c r="D12" s="92" t="s">
        <v>225</v>
      </c>
      <c r="E12" s="59" t="s">
        <v>226</v>
      </c>
      <c r="F12" s="59"/>
      <c r="G12" s="59"/>
    </row>
    <row r="13" spans="2:9" x14ac:dyDescent="0.25">
      <c r="B13" s="13" t="s">
        <v>222</v>
      </c>
      <c r="C13" s="71">
        <f>SUM('CMP Add Measures(2030)'!F4:F15)</f>
        <v>259350.52500000002</v>
      </c>
      <c r="D13" s="72">
        <f>ROUNDUP(0.95*C13,0)</f>
        <v>246383</v>
      </c>
      <c r="E13" s="59"/>
      <c r="F13" s="59"/>
      <c r="G13" s="59"/>
    </row>
    <row r="14" spans="2:9" x14ac:dyDescent="0.25">
      <c r="B14" s="13" t="s">
        <v>224</v>
      </c>
      <c r="C14" s="71">
        <f>SUM('CMP Add Measures(2030)'!F16:F22)</f>
        <v>243832.53124999904</v>
      </c>
      <c r="D14" s="71">
        <f>C14+C13-D13</f>
        <v>256800.05624999909</v>
      </c>
      <c r="E14" s="60">
        <f>D14-C14</f>
        <v>12967.525000000052</v>
      </c>
      <c r="F14" s="59"/>
      <c r="G14" s="59"/>
    </row>
    <row r="15" spans="2:9" x14ac:dyDescent="0.25">
      <c r="B15" s="140"/>
      <c r="C15" s="140"/>
      <c r="D15" s="218"/>
    </row>
    <row r="16" spans="2:9" x14ac:dyDescent="0.25">
      <c r="B16" s="140"/>
      <c r="C16" s="140"/>
      <c r="D16" s="218"/>
    </row>
    <row r="17" spans="1:5" x14ac:dyDescent="0.25">
      <c r="B17" s="140"/>
      <c r="C17" s="140"/>
      <c r="D17" s="218"/>
    </row>
    <row r="18" spans="1:5" ht="18.75" x14ac:dyDescent="0.3">
      <c r="B18" s="294" t="s">
        <v>370</v>
      </c>
      <c r="C18" s="294"/>
      <c r="D18" s="218"/>
    </row>
    <row r="19" spans="1:5" x14ac:dyDescent="0.25">
      <c r="B19" s="13" t="s">
        <v>364</v>
      </c>
      <c r="C19" s="127">
        <f>0.184/0.253</f>
        <v>0.72727272727272729</v>
      </c>
      <c r="D19" s="218"/>
    </row>
    <row r="20" spans="1:5" x14ac:dyDescent="0.25">
      <c r="B20" s="332" t="s">
        <v>365</v>
      </c>
      <c r="C20" s="127">
        <f>184/192</f>
        <v>0.95833333333333337</v>
      </c>
      <c r="D20" s="218"/>
    </row>
    <row r="21" spans="1:5" x14ac:dyDescent="0.25">
      <c r="B21" s="333"/>
      <c r="C21" s="4"/>
      <c r="D21" s="218"/>
    </row>
    <row r="22" spans="1:5" x14ac:dyDescent="0.25">
      <c r="B22" s="13" t="s">
        <v>367</v>
      </c>
      <c r="C22" s="4">
        <v>0.2</v>
      </c>
      <c r="D22" s="218"/>
    </row>
    <row r="23" spans="1:5" x14ac:dyDescent="0.25">
      <c r="B23" s="13" t="s">
        <v>368</v>
      </c>
      <c r="C23" s="4">
        <v>0.15</v>
      </c>
      <c r="D23" s="218"/>
    </row>
    <row r="24" spans="1:5" x14ac:dyDescent="0.25">
      <c r="B24" s="13" t="s">
        <v>369</v>
      </c>
      <c r="C24" s="4">
        <f>10%</f>
        <v>0.1</v>
      </c>
      <c r="D24" s="218"/>
    </row>
    <row r="25" spans="1:5" x14ac:dyDescent="0.25">
      <c r="B25" s="13" t="s">
        <v>239</v>
      </c>
      <c r="C25" s="62">
        <v>1</v>
      </c>
      <c r="D25" s="218"/>
    </row>
    <row r="26" spans="1:5" x14ac:dyDescent="0.25">
      <c r="B26" s="140"/>
      <c r="C26" s="140"/>
      <c r="D26" s="144"/>
    </row>
    <row r="27" spans="1:5" x14ac:dyDescent="0.25">
      <c r="A27" s="138"/>
      <c r="B27" s="233"/>
      <c r="C27" s="233"/>
      <c r="D27" s="232"/>
      <c r="E27" s="139"/>
    </row>
    <row r="28" spans="1:5" ht="18.75" x14ac:dyDescent="0.3">
      <c r="A28" s="138"/>
      <c r="B28" s="334" t="s">
        <v>373</v>
      </c>
      <c r="C28" s="335"/>
      <c r="D28" s="336"/>
      <c r="E28" s="139"/>
    </row>
    <row r="29" spans="1:5" ht="15" customHeight="1" x14ac:dyDescent="0.25">
      <c r="A29" s="138"/>
      <c r="B29" s="352" t="s">
        <v>371</v>
      </c>
      <c r="C29" s="146" t="s">
        <v>364</v>
      </c>
      <c r="D29" s="147">
        <f>'Additional Measures'!C19</f>
        <v>0.72727272727272729</v>
      </c>
      <c r="E29" s="139"/>
    </row>
    <row r="30" spans="1:5" x14ac:dyDescent="0.25">
      <c r="A30" s="138"/>
      <c r="B30" s="353"/>
      <c r="C30" s="343" t="s">
        <v>365</v>
      </c>
      <c r="D30" s="148">
        <f>'Additional Measures'!C20</f>
        <v>0.95833333333333337</v>
      </c>
      <c r="E30" s="139"/>
    </row>
    <row r="31" spans="1:5" x14ac:dyDescent="0.25">
      <c r="A31" s="138"/>
      <c r="B31" s="353"/>
      <c r="C31" s="343"/>
      <c r="D31" s="149"/>
      <c r="E31" s="139"/>
    </row>
    <row r="32" spans="1:5" x14ac:dyDescent="0.25">
      <c r="A32" s="138"/>
      <c r="B32" s="353"/>
      <c r="C32" s="131" t="s">
        <v>367</v>
      </c>
      <c r="D32" s="150">
        <f>'Additional Measures'!C22</f>
        <v>0.2</v>
      </c>
      <c r="E32" s="139"/>
    </row>
    <row r="33" spans="1:6" x14ac:dyDescent="0.25">
      <c r="A33" s="138"/>
      <c r="B33" s="353"/>
      <c r="C33" s="131" t="s">
        <v>368</v>
      </c>
      <c r="D33" s="150">
        <f>'Additional Measures'!C23</f>
        <v>0.15</v>
      </c>
      <c r="E33" s="139"/>
    </row>
    <row r="34" spans="1:6" x14ac:dyDescent="0.25">
      <c r="A34" s="138"/>
      <c r="B34" s="354"/>
      <c r="C34" s="151" t="s">
        <v>369</v>
      </c>
      <c r="D34" s="152">
        <f>'Additional Measures'!C24</f>
        <v>0.1</v>
      </c>
      <c r="E34" s="139"/>
    </row>
    <row r="35" spans="1:6" x14ac:dyDescent="0.25">
      <c r="A35" s="138"/>
      <c r="B35" s="355" t="s">
        <v>236</v>
      </c>
      <c r="C35" s="146" t="s">
        <v>238</v>
      </c>
      <c r="D35" s="231">
        <f>(100%-D36)</f>
        <v>0.84046483721223986</v>
      </c>
      <c r="E35" s="139"/>
      <c r="F35" s="141"/>
    </row>
    <row r="36" spans="1:6" x14ac:dyDescent="0.25">
      <c r="A36" s="138"/>
      <c r="B36" s="356"/>
      <c r="C36" s="151" t="s">
        <v>376</v>
      </c>
      <c r="D36" s="234">
        <f>'CMP Data Input'!D14/100</f>
        <v>0.15953516278776014</v>
      </c>
      <c r="E36" s="139"/>
    </row>
    <row r="37" spans="1:6" x14ac:dyDescent="0.25">
      <c r="A37" s="138"/>
      <c r="B37" s="344" t="s">
        <v>372</v>
      </c>
      <c r="C37" s="146" t="s">
        <v>239</v>
      </c>
      <c r="D37" s="231">
        <f>C25</f>
        <v>1</v>
      </c>
      <c r="E37" s="183"/>
    </row>
    <row r="38" spans="1:6" x14ac:dyDescent="0.25">
      <c r="A38" s="138"/>
      <c r="B38" s="345"/>
      <c r="C38" s="131" t="s">
        <v>240</v>
      </c>
      <c r="D38" s="154">
        <f>'CMP Add Measures(2030)'!$N$24</f>
        <v>111.82174739544784</v>
      </c>
      <c r="E38" s="139"/>
    </row>
    <row r="39" spans="1:6" x14ac:dyDescent="0.25">
      <c r="A39" s="138"/>
      <c r="B39" s="345"/>
      <c r="C39" s="131" t="s">
        <v>241</v>
      </c>
      <c r="D39" s="149" t="s">
        <v>237</v>
      </c>
      <c r="E39" s="139"/>
    </row>
    <row r="40" spans="1:6" x14ac:dyDescent="0.25">
      <c r="A40" s="138"/>
      <c r="B40" s="345"/>
      <c r="C40" s="131" t="s">
        <v>242</v>
      </c>
      <c r="D40" s="154">
        <f>'CMP Add Measures(2030)'!$O$24</f>
        <v>101.76090536216472</v>
      </c>
      <c r="E40" s="139"/>
    </row>
    <row r="41" spans="1:6" x14ac:dyDescent="0.25">
      <c r="A41" s="138"/>
      <c r="B41" s="346"/>
      <c r="C41" s="151" t="s">
        <v>243</v>
      </c>
      <c r="D41" s="155">
        <f>D40+D38</f>
        <v>213.58265275761255</v>
      </c>
      <c r="E41" s="139"/>
    </row>
    <row r="42" spans="1:6" ht="18.75" x14ac:dyDescent="0.3">
      <c r="A42" s="138"/>
      <c r="B42" s="347" t="s">
        <v>244</v>
      </c>
      <c r="C42" s="348"/>
      <c r="D42" s="349"/>
      <c r="E42" s="139"/>
    </row>
    <row r="43" spans="1:6" x14ac:dyDescent="0.25">
      <c r="A43" s="138"/>
      <c r="B43" s="350" t="s">
        <v>252</v>
      </c>
      <c r="C43" s="169" t="s">
        <v>251</v>
      </c>
      <c r="D43" s="147">
        <f>D41</f>
        <v>213.58265275761255</v>
      </c>
      <c r="E43" s="139"/>
    </row>
    <row r="44" spans="1:6" x14ac:dyDescent="0.25">
      <c r="A44" s="138"/>
      <c r="B44" s="351"/>
      <c r="C44" s="157" t="s">
        <v>240</v>
      </c>
      <c r="D44" s="148">
        <f>D38</f>
        <v>111.82174739544784</v>
      </c>
      <c r="E44" s="139"/>
    </row>
    <row r="45" spans="1:6" ht="15" customHeight="1" x14ac:dyDescent="0.25">
      <c r="A45" s="138"/>
      <c r="B45" s="351"/>
      <c r="C45" s="157" t="s">
        <v>241</v>
      </c>
      <c r="D45" s="148" t="s">
        <v>237</v>
      </c>
      <c r="E45" s="139"/>
    </row>
    <row r="46" spans="1:6" x14ac:dyDescent="0.25">
      <c r="A46" s="138"/>
      <c r="B46" s="351"/>
      <c r="C46" s="157" t="s">
        <v>253</v>
      </c>
      <c r="D46" s="148">
        <f>D40</f>
        <v>101.76090536216472</v>
      </c>
      <c r="E46" s="139"/>
    </row>
    <row r="47" spans="1:6" x14ac:dyDescent="0.25">
      <c r="A47" s="138"/>
      <c r="B47" s="351"/>
      <c r="C47" s="157" t="s">
        <v>254</v>
      </c>
      <c r="D47" s="174">
        <f>'Ld Fctr imprv'!$H$45</f>
        <v>3.8888888888888896E-2</v>
      </c>
      <c r="E47" s="139"/>
    </row>
    <row r="48" spans="1:6" x14ac:dyDescent="0.25">
      <c r="A48" s="138"/>
      <c r="B48" s="351"/>
      <c r="C48" s="157" t="s">
        <v>245</v>
      </c>
      <c r="D48" s="171">
        <f>D44*D47</f>
        <v>4.3486235098229722</v>
      </c>
      <c r="E48" s="139"/>
    </row>
    <row r="49" spans="1:6" x14ac:dyDescent="0.25">
      <c r="A49" s="138"/>
      <c r="B49" s="351"/>
      <c r="C49" s="157" t="s">
        <v>246</v>
      </c>
      <c r="D49" s="149" t="s">
        <v>237</v>
      </c>
      <c r="E49" s="139"/>
    </row>
    <row r="50" spans="1:6" x14ac:dyDescent="0.25">
      <c r="A50" s="138"/>
      <c r="B50" s="351"/>
      <c r="C50" s="157" t="s">
        <v>247</v>
      </c>
      <c r="D50" s="149">
        <v>0</v>
      </c>
      <c r="E50" s="139"/>
    </row>
    <row r="51" spans="1:6" x14ac:dyDescent="0.25">
      <c r="A51" s="138"/>
      <c r="B51" s="351"/>
      <c r="C51" s="157" t="s">
        <v>255</v>
      </c>
      <c r="D51" s="148">
        <f>D44-D48</f>
        <v>107.47312388562487</v>
      </c>
      <c r="E51" s="139"/>
    </row>
    <row r="52" spans="1:6" x14ac:dyDescent="0.25">
      <c r="A52" s="138"/>
      <c r="B52" s="351"/>
      <c r="C52" s="157" t="s">
        <v>249</v>
      </c>
      <c r="D52" s="148" t="s">
        <v>237</v>
      </c>
      <c r="E52" s="139"/>
    </row>
    <row r="53" spans="1:6" x14ac:dyDescent="0.25">
      <c r="A53" s="138"/>
      <c r="B53" s="351"/>
      <c r="C53" s="157" t="s">
        <v>250</v>
      </c>
      <c r="D53" s="148">
        <f>D46</f>
        <v>101.76090536216472</v>
      </c>
      <c r="E53" s="139"/>
    </row>
    <row r="54" spans="1:6" x14ac:dyDescent="0.25">
      <c r="A54" s="138"/>
      <c r="B54" s="351"/>
      <c r="C54" s="157" t="s">
        <v>256</v>
      </c>
      <c r="D54" s="148">
        <f>D53+D51</f>
        <v>209.23402924778958</v>
      </c>
      <c r="E54" s="139"/>
    </row>
    <row r="55" spans="1:6" x14ac:dyDescent="0.25">
      <c r="A55" s="138"/>
      <c r="B55" s="351"/>
      <c r="C55" s="157" t="s">
        <v>257</v>
      </c>
      <c r="D55" s="165">
        <f>(-D51+D44)/D43</f>
        <v>2.0360377838166806E-2</v>
      </c>
      <c r="E55" s="139"/>
    </row>
    <row r="56" spans="1:6" x14ac:dyDescent="0.25">
      <c r="A56" s="138"/>
      <c r="B56" s="340" t="s">
        <v>258</v>
      </c>
      <c r="C56" s="169" t="s">
        <v>251</v>
      </c>
      <c r="D56" s="147">
        <f>D54</f>
        <v>209.23402924778958</v>
      </c>
      <c r="E56" s="139"/>
    </row>
    <row r="57" spans="1:6" x14ac:dyDescent="0.25">
      <c r="A57" s="138"/>
      <c r="B57" s="341"/>
      <c r="C57" s="157" t="s">
        <v>240</v>
      </c>
      <c r="D57" s="148">
        <f>D51</f>
        <v>107.47312388562487</v>
      </c>
      <c r="E57" s="139"/>
    </row>
    <row r="58" spans="1:6" ht="15" customHeight="1" x14ac:dyDescent="0.25">
      <c r="A58" s="138"/>
      <c r="B58" s="341"/>
      <c r="C58" s="157" t="s">
        <v>241</v>
      </c>
      <c r="D58" s="148" t="s">
        <v>237</v>
      </c>
      <c r="E58" s="139"/>
    </row>
    <row r="59" spans="1:6" x14ac:dyDescent="0.25">
      <c r="A59" s="138"/>
      <c r="B59" s="341"/>
      <c r="C59" s="157" t="s">
        <v>253</v>
      </c>
      <c r="D59" s="148">
        <f>D53</f>
        <v>101.76090536216472</v>
      </c>
      <c r="E59" s="139"/>
    </row>
    <row r="60" spans="1:6" x14ac:dyDescent="0.25">
      <c r="A60" s="138"/>
      <c r="B60" s="341"/>
      <c r="C60" s="157" t="s">
        <v>259</v>
      </c>
      <c r="D60" s="165">
        <f>29/48</f>
        <v>0.60416666666666663</v>
      </c>
      <c r="E60" s="139"/>
    </row>
    <row r="61" spans="1:6" x14ac:dyDescent="0.25">
      <c r="A61" s="138"/>
      <c r="B61" s="341"/>
      <c r="C61" s="157" t="s">
        <v>260</v>
      </c>
      <c r="D61" s="165">
        <f>19/48</f>
        <v>0.39583333333333331</v>
      </c>
      <c r="E61" s="139"/>
    </row>
    <row r="62" spans="1:6" x14ac:dyDescent="0.25">
      <c r="A62" s="138"/>
      <c r="B62" s="341"/>
      <c r="C62" s="157" t="s">
        <v>261</v>
      </c>
      <c r="D62" s="170">
        <f>D32</f>
        <v>0.2</v>
      </c>
      <c r="E62" s="139"/>
    </row>
    <row r="63" spans="1:6" x14ac:dyDescent="0.25">
      <c r="A63" s="138"/>
      <c r="B63" s="341"/>
      <c r="C63" s="157" t="s">
        <v>263</v>
      </c>
      <c r="D63" s="170">
        <f>D33</f>
        <v>0.15</v>
      </c>
      <c r="E63" s="139"/>
    </row>
    <row r="64" spans="1:6" x14ac:dyDescent="0.25">
      <c r="A64" s="138"/>
      <c r="B64" s="341"/>
      <c r="C64" s="157" t="s">
        <v>264</v>
      </c>
      <c r="D64" s="170">
        <f>1-(D29)</f>
        <v>0.27272727272727271</v>
      </c>
      <c r="E64" s="139"/>
      <c r="F64" s="128" t="s">
        <v>262</v>
      </c>
    </row>
    <row r="65" spans="1:6" x14ac:dyDescent="0.25">
      <c r="A65" s="138"/>
      <c r="B65" s="341"/>
      <c r="C65" s="157" t="s">
        <v>266</v>
      </c>
      <c r="D65" s="170">
        <v>0.2</v>
      </c>
      <c r="E65" s="139"/>
    </row>
    <row r="66" spans="1:6" x14ac:dyDescent="0.25">
      <c r="A66" s="138"/>
      <c r="B66" s="341"/>
      <c r="C66" s="157" t="s">
        <v>267</v>
      </c>
      <c r="D66" s="170">
        <f>(1-D30*('BAU Assumptions'!E7/'BAU Assumptions'!E5))</f>
        <v>0.13749999999999996</v>
      </c>
      <c r="E66" s="139"/>
      <c r="F66" s="128" t="s">
        <v>265</v>
      </c>
    </row>
    <row r="67" spans="1:6" x14ac:dyDescent="0.25">
      <c r="A67" s="138"/>
      <c r="B67" s="341"/>
      <c r="C67" s="157" t="s">
        <v>268</v>
      </c>
      <c r="D67" s="171">
        <f>D59*D62*D63</f>
        <v>3.0528271608649415</v>
      </c>
      <c r="E67" s="139"/>
    </row>
    <row r="68" spans="1:6" x14ac:dyDescent="0.25">
      <c r="A68" s="138"/>
      <c r="B68" s="341"/>
      <c r="C68" s="157" t="s">
        <v>269</v>
      </c>
      <c r="D68" s="171">
        <f>D57*D60*D64</f>
        <v>17.708639731154097</v>
      </c>
      <c r="E68" s="139"/>
    </row>
    <row r="69" spans="1:6" x14ac:dyDescent="0.25">
      <c r="A69" s="138"/>
      <c r="B69" s="341"/>
      <c r="C69" s="157" t="s">
        <v>270</v>
      </c>
      <c r="D69" s="171">
        <f>D57*D61*D65</f>
        <v>8.508288974278635</v>
      </c>
      <c r="E69" s="139"/>
    </row>
    <row r="70" spans="1:6" x14ac:dyDescent="0.25">
      <c r="A70" s="138"/>
      <c r="B70" s="341"/>
      <c r="C70" s="157" t="s">
        <v>366</v>
      </c>
      <c r="D70" s="171">
        <f>D66*D34*D59</f>
        <v>1.3992124487297646</v>
      </c>
      <c r="E70" s="139"/>
    </row>
    <row r="71" spans="1:6" x14ac:dyDescent="0.25">
      <c r="A71" s="138"/>
      <c r="B71" s="341"/>
      <c r="C71" s="157" t="s">
        <v>248</v>
      </c>
      <c r="D71" s="148">
        <f>D57-D68-D69</f>
        <v>81.256195180192151</v>
      </c>
      <c r="E71" s="139"/>
    </row>
    <row r="72" spans="1:6" x14ac:dyDescent="0.25">
      <c r="A72" s="138"/>
      <c r="B72" s="341"/>
      <c r="C72" s="157" t="s">
        <v>249</v>
      </c>
      <c r="D72" s="148" t="s">
        <v>237</v>
      </c>
      <c r="E72" s="139"/>
    </row>
    <row r="73" spans="1:6" x14ac:dyDescent="0.25">
      <c r="A73" s="138"/>
      <c r="B73" s="341"/>
      <c r="C73" s="157" t="s">
        <v>250</v>
      </c>
      <c r="D73" s="148">
        <f>D59-D67</f>
        <v>98.708078201299784</v>
      </c>
      <c r="E73" s="139"/>
    </row>
    <row r="74" spans="1:6" x14ac:dyDescent="0.25">
      <c r="A74" s="138"/>
      <c r="B74" s="341"/>
      <c r="C74" s="157" t="s">
        <v>275</v>
      </c>
      <c r="D74" s="148">
        <f>D59-D67-D70</f>
        <v>97.308865752570014</v>
      </c>
      <c r="E74" s="139"/>
    </row>
    <row r="75" spans="1:6" x14ac:dyDescent="0.25">
      <c r="A75" s="138"/>
      <c r="B75" s="341"/>
      <c r="C75" s="157" t="s">
        <v>276</v>
      </c>
      <c r="D75" s="148">
        <f>D73+D71</f>
        <v>179.96427338149192</v>
      </c>
      <c r="E75" s="139"/>
    </row>
    <row r="76" spans="1:6" x14ac:dyDescent="0.25">
      <c r="A76" s="138"/>
      <c r="B76" s="341"/>
      <c r="C76" s="157" t="s">
        <v>277</v>
      </c>
      <c r="D76" s="148">
        <f>D74+D71</f>
        <v>178.56506093276215</v>
      </c>
      <c r="E76" s="168"/>
      <c r="F76" s="158"/>
    </row>
    <row r="77" spans="1:6" x14ac:dyDescent="0.25">
      <c r="A77" s="138"/>
      <c r="B77" s="341"/>
      <c r="C77" s="157" t="s">
        <v>279</v>
      </c>
      <c r="D77" s="165">
        <f>(D56-D75)/D56</f>
        <v>0.13989003591588042</v>
      </c>
      <c r="E77" s="139"/>
    </row>
    <row r="78" spans="1:6" x14ac:dyDescent="0.25">
      <c r="A78" s="138"/>
      <c r="B78" s="341"/>
      <c r="C78" s="157" t="s">
        <v>278</v>
      </c>
      <c r="D78" s="165">
        <f>(D56-D76)/D56</f>
        <v>0.14657734415995541</v>
      </c>
      <c r="E78" s="139"/>
    </row>
    <row r="79" spans="1:6" x14ac:dyDescent="0.25">
      <c r="A79" s="138"/>
      <c r="B79" s="342"/>
      <c r="C79" s="172" t="s">
        <v>271</v>
      </c>
      <c r="D79" s="173">
        <f>(D75-D76)/D75</f>
        <v>7.7749456735987325E-3</v>
      </c>
      <c r="E79" s="139"/>
    </row>
    <row r="80" spans="1:6" ht="18.75" customHeight="1" x14ac:dyDescent="0.25">
      <c r="A80" s="138"/>
      <c r="B80" s="141"/>
      <c r="C80" s="141"/>
      <c r="D80" s="141"/>
      <c r="E80" s="159"/>
    </row>
    <row r="81" spans="1:5" ht="15.75" customHeight="1" x14ac:dyDescent="0.25">
      <c r="A81" s="138"/>
      <c r="D81" s="128"/>
      <c r="E81" s="160"/>
    </row>
    <row r="82" spans="1:5" x14ac:dyDescent="0.25">
      <c r="A82" s="138"/>
      <c r="D82" s="128"/>
      <c r="E82" s="161"/>
    </row>
    <row r="83" spans="1:5" x14ac:dyDescent="0.25">
      <c r="B83" s="141"/>
      <c r="C83" s="141"/>
      <c r="D83" s="162"/>
      <c r="E83" s="136"/>
    </row>
    <row r="84" spans="1:5" x14ac:dyDescent="0.25">
      <c r="D84" s="142"/>
      <c r="E84" s="136"/>
    </row>
    <row r="85" spans="1:5" x14ac:dyDescent="0.25">
      <c r="D85" s="142"/>
      <c r="E85" s="129"/>
    </row>
    <row r="86" spans="1:5" x14ac:dyDescent="0.25">
      <c r="D86" s="142"/>
      <c r="E86" s="129"/>
    </row>
    <row r="87" spans="1:5" x14ac:dyDescent="0.25">
      <c r="D87" s="142"/>
      <c r="E87" s="129"/>
    </row>
    <row r="88" spans="1:5" x14ac:dyDescent="0.25">
      <c r="D88" s="142"/>
      <c r="E88" s="129"/>
    </row>
    <row r="89" spans="1:5" x14ac:dyDescent="0.25">
      <c r="D89" s="142"/>
      <c r="E89" s="129"/>
    </row>
    <row r="90" spans="1:5" x14ac:dyDescent="0.25">
      <c r="D90" s="142"/>
      <c r="E90" s="129"/>
    </row>
    <row r="91" spans="1:5" x14ac:dyDescent="0.25">
      <c r="D91" s="142"/>
      <c r="E91" s="129"/>
    </row>
    <row r="92" spans="1:5" x14ac:dyDescent="0.25">
      <c r="D92" s="142"/>
      <c r="E92" s="129"/>
    </row>
    <row r="93" spans="1:5" x14ac:dyDescent="0.25">
      <c r="D93" s="142"/>
      <c r="E93" s="129"/>
    </row>
    <row r="94" spans="1:5" x14ac:dyDescent="0.25">
      <c r="D94" s="142"/>
      <c r="E94" s="129"/>
    </row>
    <row r="95" spans="1:5" x14ac:dyDescent="0.25">
      <c r="D95" s="142"/>
      <c r="E95" s="129"/>
    </row>
    <row r="96" spans="1:5" x14ac:dyDescent="0.25">
      <c r="D96" s="142"/>
      <c r="E96" s="129"/>
    </row>
    <row r="97" spans="4:5" x14ac:dyDescent="0.25">
      <c r="D97" s="142"/>
      <c r="E97" s="129"/>
    </row>
    <row r="98" spans="4:5" x14ac:dyDescent="0.25">
      <c r="D98" s="142"/>
      <c r="E98" s="129"/>
    </row>
    <row r="99" spans="4:5" x14ac:dyDescent="0.25">
      <c r="D99" s="142"/>
      <c r="E99" s="129"/>
    </row>
    <row r="100" spans="4:5" x14ac:dyDescent="0.25">
      <c r="D100" s="142"/>
      <c r="E100" s="129"/>
    </row>
    <row r="101" spans="4:5" x14ac:dyDescent="0.25">
      <c r="D101" s="142"/>
      <c r="E101" s="129"/>
    </row>
    <row r="102" spans="4:5" x14ac:dyDescent="0.25">
      <c r="D102" s="142"/>
      <c r="E102" s="129"/>
    </row>
    <row r="103" spans="4:5" x14ac:dyDescent="0.25">
      <c r="D103" s="142"/>
      <c r="E103" s="129"/>
    </row>
    <row r="104" spans="4:5" x14ac:dyDescent="0.25">
      <c r="D104" s="142"/>
      <c r="E104" s="129"/>
    </row>
    <row r="105" spans="4:5" x14ac:dyDescent="0.25">
      <c r="D105" s="142"/>
      <c r="E105" s="129"/>
    </row>
    <row r="106" spans="4:5" x14ac:dyDescent="0.25">
      <c r="D106" s="142"/>
      <c r="E106" s="129"/>
    </row>
    <row r="107" spans="4:5" x14ac:dyDescent="0.25">
      <c r="D107" s="142"/>
      <c r="E107" s="129"/>
    </row>
    <row r="108" spans="4:5" x14ac:dyDescent="0.25">
      <c r="D108" s="142"/>
      <c r="E108" s="129"/>
    </row>
    <row r="109" spans="4:5" x14ac:dyDescent="0.25">
      <c r="D109" s="142"/>
      <c r="E109" s="129"/>
    </row>
    <row r="110" spans="4:5" x14ac:dyDescent="0.25">
      <c r="D110" s="142"/>
      <c r="E110" s="129"/>
    </row>
    <row r="111" spans="4:5" x14ac:dyDescent="0.25">
      <c r="D111" s="142"/>
      <c r="E111" s="129"/>
    </row>
    <row r="112" spans="4:5" x14ac:dyDescent="0.25">
      <c r="D112" s="142"/>
      <c r="E112" s="129"/>
    </row>
    <row r="113" spans="4:5" x14ac:dyDescent="0.25">
      <c r="D113" s="142"/>
      <c r="E113" s="129"/>
    </row>
    <row r="114" spans="4:5" x14ac:dyDescent="0.25">
      <c r="D114" s="142"/>
      <c r="E114" s="129"/>
    </row>
    <row r="115" spans="4:5" x14ac:dyDescent="0.25">
      <c r="D115" s="142"/>
      <c r="E115" s="129"/>
    </row>
    <row r="116" spans="4:5" x14ac:dyDescent="0.25">
      <c r="D116" s="142"/>
      <c r="E116" s="129"/>
    </row>
    <row r="117" spans="4:5" x14ac:dyDescent="0.25">
      <c r="D117" s="142"/>
      <c r="E117" s="129"/>
    </row>
    <row r="118" spans="4:5" x14ac:dyDescent="0.25">
      <c r="D118" s="142"/>
      <c r="E118" s="129"/>
    </row>
    <row r="119" spans="4:5" x14ac:dyDescent="0.25">
      <c r="D119" s="142"/>
      <c r="E119" s="129"/>
    </row>
    <row r="120" spans="4:5" x14ac:dyDescent="0.25">
      <c r="D120" s="142"/>
      <c r="E120" s="129"/>
    </row>
    <row r="121" spans="4:5" x14ac:dyDescent="0.25">
      <c r="D121" s="142"/>
      <c r="E121" s="129"/>
    </row>
    <row r="122" spans="4:5" x14ac:dyDescent="0.25">
      <c r="D122" s="142"/>
      <c r="E122" s="129"/>
    </row>
    <row r="123" spans="4:5" x14ac:dyDescent="0.25">
      <c r="D123" s="142"/>
      <c r="E123" s="129"/>
    </row>
    <row r="124" spans="4:5" x14ac:dyDescent="0.25">
      <c r="D124" s="142"/>
      <c r="E124" s="129"/>
    </row>
    <row r="125" spans="4:5" x14ac:dyDescent="0.25">
      <c r="D125" s="142"/>
      <c r="E125" s="129"/>
    </row>
    <row r="126" spans="4:5" x14ac:dyDescent="0.25">
      <c r="D126" s="142"/>
      <c r="E126" s="129"/>
    </row>
    <row r="127" spans="4:5" x14ac:dyDescent="0.25">
      <c r="D127" s="142"/>
      <c r="E127" s="129"/>
    </row>
    <row r="128" spans="4:5" x14ac:dyDescent="0.25">
      <c r="D128" s="142"/>
      <c r="E128" s="129"/>
    </row>
    <row r="129" spans="4:5" x14ac:dyDescent="0.25">
      <c r="D129" s="142"/>
      <c r="E129" s="129"/>
    </row>
    <row r="130" spans="4:5" x14ac:dyDescent="0.25">
      <c r="D130" s="142"/>
      <c r="E130" s="129"/>
    </row>
    <row r="131" spans="4:5" x14ac:dyDescent="0.25">
      <c r="D131" s="142"/>
      <c r="E131" s="129"/>
    </row>
    <row r="132" spans="4:5" x14ac:dyDescent="0.25">
      <c r="D132" s="142"/>
      <c r="E132" s="129"/>
    </row>
    <row r="133" spans="4:5" x14ac:dyDescent="0.25">
      <c r="D133" s="142"/>
      <c r="E133" s="129"/>
    </row>
    <row r="134" spans="4:5" x14ac:dyDescent="0.25">
      <c r="D134" s="142"/>
      <c r="E134" s="129"/>
    </row>
    <row r="135" spans="4:5" x14ac:dyDescent="0.25">
      <c r="D135" s="142"/>
      <c r="E135" s="129"/>
    </row>
    <row r="136" spans="4:5" x14ac:dyDescent="0.25">
      <c r="D136" s="142"/>
      <c r="E136" s="129"/>
    </row>
    <row r="137" spans="4:5" x14ac:dyDescent="0.25">
      <c r="D137" s="142"/>
      <c r="E137" s="129"/>
    </row>
    <row r="138" spans="4:5" x14ac:dyDescent="0.25">
      <c r="D138" s="142"/>
      <c r="E138" s="129"/>
    </row>
    <row r="139" spans="4:5" x14ac:dyDescent="0.25">
      <c r="D139" s="142"/>
      <c r="E139" s="129"/>
    </row>
    <row r="140" spans="4:5" x14ac:dyDescent="0.25">
      <c r="D140" s="142"/>
      <c r="E140" s="129"/>
    </row>
    <row r="141" spans="4:5" x14ac:dyDescent="0.25">
      <c r="D141" s="142"/>
      <c r="E141" s="129"/>
    </row>
    <row r="142" spans="4:5" x14ac:dyDescent="0.25">
      <c r="D142" s="142"/>
      <c r="E142" s="129"/>
    </row>
    <row r="143" spans="4:5" x14ac:dyDescent="0.25">
      <c r="D143" s="142"/>
      <c r="E143" s="129"/>
    </row>
    <row r="144" spans="4:5" x14ac:dyDescent="0.25">
      <c r="D144" s="142"/>
      <c r="E144" s="129"/>
    </row>
    <row r="145" spans="4:5" x14ac:dyDescent="0.25">
      <c r="D145" s="142"/>
      <c r="E145" s="129"/>
    </row>
    <row r="146" spans="4:5" x14ac:dyDescent="0.25">
      <c r="D146" s="142"/>
      <c r="E146" s="129"/>
    </row>
    <row r="147" spans="4:5" x14ac:dyDescent="0.25">
      <c r="D147" s="142"/>
      <c r="E147" s="129"/>
    </row>
    <row r="148" spans="4:5" x14ac:dyDescent="0.25">
      <c r="D148" s="142"/>
      <c r="E148" s="129"/>
    </row>
    <row r="149" spans="4:5" x14ac:dyDescent="0.25">
      <c r="D149" s="142"/>
      <c r="E149" s="129"/>
    </row>
    <row r="150" spans="4:5" x14ac:dyDescent="0.25">
      <c r="D150" s="142"/>
      <c r="E150" s="129"/>
    </row>
    <row r="151" spans="4:5" x14ac:dyDescent="0.25">
      <c r="D151" s="142"/>
      <c r="E151" s="129"/>
    </row>
    <row r="152" spans="4:5" x14ac:dyDescent="0.25">
      <c r="D152" s="142"/>
      <c r="E152" s="129"/>
    </row>
    <row r="153" spans="4:5" x14ac:dyDescent="0.25">
      <c r="D153" s="142"/>
      <c r="E153" s="129"/>
    </row>
    <row r="154" spans="4:5" x14ac:dyDescent="0.25">
      <c r="D154" s="142"/>
      <c r="E154" s="129"/>
    </row>
    <row r="155" spans="4:5" x14ac:dyDescent="0.25">
      <c r="D155" s="142"/>
      <c r="E155" s="129"/>
    </row>
    <row r="156" spans="4:5" x14ac:dyDescent="0.25">
      <c r="D156" s="142"/>
      <c r="E156" s="129"/>
    </row>
    <row r="157" spans="4:5" x14ac:dyDescent="0.25">
      <c r="D157" s="142"/>
      <c r="E157" s="129"/>
    </row>
    <row r="158" spans="4:5" x14ac:dyDescent="0.25">
      <c r="D158" s="142"/>
      <c r="E158" s="129"/>
    </row>
    <row r="159" spans="4:5" x14ac:dyDescent="0.25">
      <c r="D159" s="142"/>
      <c r="E159" s="129"/>
    </row>
    <row r="160" spans="4:5" x14ac:dyDescent="0.25">
      <c r="D160" s="142"/>
      <c r="E160" s="129"/>
    </row>
    <row r="161" spans="4:5" x14ac:dyDescent="0.25">
      <c r="D161" s="142"/>
      <c r="E161" s="129"/>
    </row>
    <row r="162" spans="4:5" x14ac:dyDescent="0.25">
      <c r="D162" s="142"/>
      <c r="E162" s="129"/>
    </row>
    <row r="163" spans="4:5" x14ac:dyDescent="0.25">
      <c r="D163" s="142"/>
      <c r="E163" s="129"/>
    </row>
    <row r="164" spans="4:5" x14ac:dyDescent="0.25">
      <c r="D164" s="142"/>
      <c r="E164" s="129"/>
    </row>
    <row r="165" spans="4:5" x14ac:dyDescent="0.25">
      <c r="D165" s="142"/>
      <c r="E165" s="129"/>
    </row>
    <row r="166" spans="4:5" x14ac:dyDescent="0.25">
      <c r="D166" s="142"/>
      <c r="E166" s="129"/>
    </row>
    <row r="167" spans="4:5" x14ac:dyDescent="0.25">
      <c r="D167" s="142"/>
      <c r="E167" s="129"/>
    </row>
    <row r="168" spans="4:5" x14ac:dyDescent="0.25">
      <c r="D168" s="142"/>
      <c r="E168" s="129"/>
    </row>
    <row r="169" spans="4:5" x14ac:dyDescent="0.25">
      <c r="D169" s="142"/>
      <c r="E169" s="129"/>
    </row>
    <row r="170" spans="4:5" x14ac:dyDescent="0.25">
      <c r="D170" s="142"/>
      <c r="E170" s="129"/>
    </row>
    <row r="171" spans="4:5" x14ac:dyDescent="0.25">
      <c r="D171" s="142"/>
      <c r="E171" s="129"/>
    </row>
    <row r="172" spans="4:5" x14ac:dyDescent="0.25">
      <c r="D172" s="142"/>
      <c r="E172" s="129"/>
    </row>
    <row r="173" spans="4:5" x14ac:dyDescent="0.25">
      <c r="D173" s="142"/>
      <c r="E173" s="129"/>
    </row>
    <row r="174" spans="4:5" x14ac:dyDescent="0.25">
      <c r="D174" s="142"/>
      <c r="E174" s="129"/>
    </row>
    <row r="175" spans="4:5" x14ac:dyDescent="0.25">
      <c r="D175" s="142"/>
      <c r="E175" s="129"/>
    </row>
    <row r="176" spans="4:5" x14ac:dyDescent="0.25">
      <c r="D176" s="142"/>
      <c r="E176" s="129"/>
    </row>
    <row r="177" spans="4:5" x14ac:dyDescent="0.25">
      <c r="D177" s="142"/>
      <c r="E177" s="129"/>
    </row>
    <row r="178" spans="4:5" x14ac:dyDescent="0.25">
      <c r="D178" s="142"/>
      <c r="E178" s="129"/>
    </row>
    <row r="179" spans="4:5" x14ac:dyDescent="0.25">
      <c r="D179" s="142"/>
      <c r="E179" s="129"/>
    </row>
    <row r="180" spans="4:5" x14ac:dyDescent="0.25">
      <c r="D180" s="142"/>
      <c r="E180" s="129"/>
    </row>
    <row r="181" spans="4:5" x14ac:dyDescent="0.25">
      <c r="D181" s="142"/>
      <c r="E181" s="129"/>
    </row>
    <row r="182" spans="4:5" x14ac:dyDescent="0.25">
      <c r="D182" s="142"/>
      <c r="E182" s="129"/>
    </row>
    <row r="183" spans="4:5" x14ac:dyDescent="0.25">
      <c r="D183" s="142"/>
      <c r="E183" s="129"/>
    </row>
    <row r="184" spans="4:5" x14ac:dyDescent="0.25">
      <c r="D184" s="142"/>
      <c r="E184" s="129"/>
    </row>
    <row r="185" spans="4:5" x14ac:dyDescent="0.25">
      <c r="D185" s="142"/>
      <c r="E185" s="129"/>
    </row>
    <row r="186" spans="4:5" x14ac:dyDescent="0.25">
      <c r="D186" s="142"/>
      <c r="E186" s="129"/>
    </row>
    <row r="187" spans="4:5" x14ac:dyDescent="0.25">
      <c r="D187" s="142"/>
      <c r="E187" s="129"/>
    </row>
    <row r="188" spans="4:5" x14ac:dyDescent="0.25">
      <c r="D188" s="142"/>
      <c r="E188" s="129"/>
    </row>
    <row r="189" spans="4:5" x14ac:dyDescent="0.25">
      <c r="D189" s="142"/>
      <c r="E189" s="129"/>
    </row>
    <row r="190" spans="4:5" x14ac:dyDescent="0.25">
      <c r="D190" s="142"/>
      <c r="E190" s="129"/>
    </row>
    <row r="191" spans="4:5" x14ac:dyDescent="0.25">
      <c r="D191" s="142"/>
      <c r="E191" s="129"/>
    </row>
    <row r="192" spans="4:5" x14ac:dyDescent="0.25">
      <c r="D192" s="142"/>
      <c r="E192" s="129"/>
    </row>
    <row r="193" spans="4:5" x14ac:dyDescent="0.25">
      <c r="D193" s="142"/>
      <c r="E193" s="129"/>
    </row>
    <row r="194" spans="4:5" x14ac:dyDescent="0.25">
      <c r="D194" s="142"/>
      <c r="E194" s="129"/>
    </row>
    <row r="195" spans="4:5" x14ac:dyDescent="0.25">
      <c r="D195" s="142"/>
      <c r="E195" s="129"/>
    </row>
    <row r="196" spans="4:5" x14ac:dyDescent="0.25">
      <c r="D196" s="142"/>
      <c r="E196" s="129"/>
    </row>
    <row r="197" spans="4:5" x14ac:dyDescent="0.25">
      <c r="D197" s="142"/>
      <c r="E197" s="129"/>
    </row>
    <row r="198" spans="4:5" x14ac:dyDescent="0.25">
      <c r="D198" s="142"/>
      <c r="E198" s="129"/>
    </row>
    <row r="199" spans="4:5" x14ac:dyDescent="0.25">
      <c r="D199" s="142"/>
      <c r="E199" s="129"/>
    </row>
    <row r="200" spans="4:5" x14ac:dyDescent="0.25">
      <c r="D200" s="142"/>
      <c r="E200" s="129"/>
    </row>
    <row r="201" spans="4:5" x14ac:dyDescent="0.25">
      <c r="D201" s="142"/>
      <c r="E201" s="129"/>
    </row>
    <row r="202" spans="4:5" x14ac:dyDescent="0.25">
      <c r="D202" s="142"/>
      <c r="E202" s="129"/>
    </row>
    <row r="203" spans="4:5" x14ac:dyDescent="0.25">
      <c r="D203" s="142"/>
      <c r="E203" s="129"/>
    </row>
    <row r="204" spans="4:5" x14ac:dyDescent="0.25">
      <c r="D204" s="142"/>
      <c r="E204" s="129"/>
    </row>
    <row r="205" spans="4:5" x14ac:dyDescent="0.25">
      <c r="D205" s="142"/>
      <c r="E205" s="129"/>
    </row>
    <row r="206" spans="4:5" x14ac:dyDescent="0.25">
      <c r="D206" s="142"/>
      <c r="E206" s="129"/>
    </row>
    <row r="207" spans="4:5" x14ac:dyDescent="0.25">
      <c r="D207" s="142"/>
      <c r="E207" s="129"/>
    </row>
    <row r="208" spans="4:5" x14ac:dyDescent="0.25">
      <c r="D208" s="142"/>
      <c r="E208" s="129"/>
    </row>
    <row r="209" spans="4:5" x14ac:dyDescent="0.25">
      <c r="D209" s="142"/>
      <c r="E209" s="129"/>
    </row>
    <row r="210" spans="4:5" x14ac:dyDescent="0.25">
      <c r="D210" s="142"/>
      <c r="E210" s="129"/>
    </row>
    <row r="211" spans="4:5" x14ac:dyDescent="0.25">
      <c r="D211" s="142"/>
      <c r="E211" s="129"/>
    </row>
    <row r="212" spans="4:5" x14ac:dyDescent="0.25">
      <c r="D212" s="142"/>
      <c r="E212" s="129"/>
    </row>
    <row r="213" spans="4:5" x14ac:dyDescent="0.25">
      <c r="D213" s="142"/>
      <c r="E213" s="129"/>
    </row>
    <row r="214" spans="4:5" x14ac:dyDescent="0.25">
      <c r="D214" s="142"/>
      <c r="E214" s="129"/>
    </row>
    <row r="215" spans="4:5" x14ac:dyDescent="0.25">
      <c r="D215" s="142"/>
      <c r="E215" s="129"/>
    </row>
    <row r="216" spans="4:5" x14ac:dyDescent="0.25">
      <c r="D216" s="142"/>
      <c r="E216" s="129"/>
    </row>
    <row r="217" spans="4:5" x14ac:dyDescent="0.25">
      <c r="D217" s="142"/>
      <c r="E217" s="129"/>
    </row>
    <row r="218" spans="4:5" x14ac:dyDescent="0.25">
      <c r="D218" s="142"/>
      <c r="E218" s="129"/>
    </row>
    <row r="219" spans="4:5" x14ac:dyDescent="0.25">
      <c r="D219" s="142"/>
      <c r="E219" s="129"/>
    </row>
    <row r="220" spans="4:5" x14ac:dyDescent="0.25">
      <c r="D220" s="142"/>
      <c r="E220" s="129"/>
    </row>
    <row r="221" spans="4:5" x14ac:dyDescent="0.25">
      <c r="D221" s="142"/>
      <c r="E221" s="129"/>
    </row>
    <row r="222" spans="4:5" x14ac:dyDescent="0.25">
      <c r="D222" s="142"/>
      <c r="E222" s="129"/>
    </row>
    <row r="223" spans="4:5" x14ac:dyDescent="0.25">
      <c r="D223" s="142"/>
      <c r="E223" s="129"/>
    </row>
    <row r="224" spans="4:5" x14ac:dyDescent="0.25">
      <c r="D224" s="142"/>
      <c r="E224" s="129"/>
    </row>
    <row r="225" spans="4:5" x14ac:dyDescent="0.25">
      <c r="D225" s="142"/>
      <c r="E225" s="129"/>
    </row>
    <row r="226" spans="4:5" x14ac:dyDescent="0.25">
      <c r="D226" s="142"/>
      <c r="E226" s="129"/>
    </row>
    <row r="227" spans="4:5" x14ac:dyDescent="0.25">
      <c r="D227" s="142"/>
      <c r="E227" s="129"/>
    </row>
    <row r="228" spans="4:5" x14ac:dyDescent="0.25">
      <c r="D228" s="142"/>
      <c r="E228" s="129"/>
    </row>
    <row r="229" spans="4:5" x14ac:dyDescent="0.25">
      <c r="D229" s="142"/>
      <c r="E229" s="129"/>
    </row>
    <row r="230" spans="4:5" x14ac:dyDescent="0.25">
      <c r="D230" s="142"/>
      <c r="E230" s="129"/>
    </row>
    <row r="231" spans="4:5" x14ac:dyDescent="0.25">
      <c r="D231" s="142"/>
      <c r="E231" s="129"/>
    </row>
    <row r="232" spans="4:5" x14ac:dyDescent="0.25">
      <c r="D232" s="142"/>
      <c r="E232" s="129"/>
    </row>
    <row r="233" spans="4:5" x14ac:dyDescent="0.25">
      <c r="D233" s="142"/>
      <c r="E233" s="129"/>
    </row>
    <row r="234" spans="4:5" x14ac:dyDescent="0.25">
      <c r="D234" s="142"/>
      <c r="E234" s="129"/>
    </row>
    <row r="235" spans="4:5" x14ac:dyDescent="0.25">
      <c r="D235" s="142"/>
      <c r="E235" s="129"/>
    </row>
    <row r="236" spans="4:5" x14ac:dyDescent="0.25">
      <c r="D236" s="142"/>
      <c r="E236" s="129"/>
    </row>
    <row r="237" spans="4:5" x14ac:dyDescent="0.25">
      <c r="D237" s="142"/>
      <c r="E237" s="129"/>
    </row>
    <row r="238" spans="4:5" x14ac:dyDescent="0.25">
      <c r="D238" s="142"/>
      <c r="E238" s="129"/>
    </row>
    <row r="239" spans="4:5" x14ac:dyDescent="0.25">
      <c r="D239" s="142"/>
      <c r="E239" s="129"/>
    </row>
    <row r="240" spans="4:5" x14ac:dyDescent="0.25">
      <c r="D240" s="142"/>
      <c r="E240" s="129"/>
    </row>
    <row r="241" spans="4:5" x14ac:dyDescent="0.25">
      <c r="D241" s="142"/>
      <c r="E241" s="129"/>
    </row>
    <row r="242" spans="4:5" x14ac:dyDescent="0.25">
      <c r="D242" s="142"/>
      <c r="E242" s="129"/>
    </row>
    <row r="243" spans="4:5" x14ac:dyDescent="0.25">
      <c r="D243" s="142"/>
      <c r="E243" s="129"/>
    </row>
    <row r="244" spans="4:5" x14ac:dyDescent="0.25">
      <c r="D244" s="142"/>
      <c r="E244" s="129"/>
    </row>
    <row r="245" spans="4:5" x14ac:dyDescent="0.25">
      <c r="D245" s="142"/>
      <c r="E245" s="129"/>
    </row>
    <row r="246" spans="4:5" x14ac:dyDescent="0.25">
      <c r="D246" s="142"/>
      <c r="E246" s="129"/>
    </row>
    <row r="247" spans="4:5" x14ac:dyDescent="0.25">
      <c r="D247" s="142"/>
      <c r="E247" s="129"/>
    </row>
    <row r="248" spans="4:5" x14ac:dyDescent="0.25">
      <c r="D248" s="142"/>
      <c r="E248" s="129"/>
    </row>
    <row r="249" spans="4:5" x14ac:dyDescent="0.25">
      <c r="D249" s="142"/>
      <c r="E249" s="129"/>
    </row>
    <row r="250" spans="4:5" x14ac:dyDescent="0.25">
      <c r="D250" s="142"/>
      <c r="E250" s="129"/>
    </row>
    <row r="251" spans="4:5" x14ac:dyDescent="0.25">
      <c r="D251" s="142"/>
      <c r="E251" s="129"/>
    </row>
    <row r="252" spans="4:5" x14ac:dyDescent="0.25">
      <c r="D252" s="142"/>
      <c r="E252" s="129"/>
    </row>
    <row r="253" spans="4:5" x14ac:dyDescent="0.25">
      <c r="D253" s="142"/>
      <c r="E253" s="129"/>
    </row>
    <row r="254" spans="4:5" x14ac:dyDescent="0.25">
      <c r="D254" s="142"/>
      <c r="E254" s="129"/>
    </row>
    <row r="255" spans="4:5" x14ac:dyDescent="0.25">
      <c r="D255" s="142"/>
      <c r="E255" s="129"/>
    </row>
    <row r="256" spans="4:5" x14ac:dyDescent="0.25">
      <c r="D256" s="142"/>
      <c r="E256" s="129"/>
    </row>
    <row r="257" spans="4:5" x14ac:dyDescent="0.25">
      <c r="D257" s="142"/>
      <c r="E257" s="129"/>
    </row>
    <row r="258" spans="4:5" x14ac:dyDescent="0.25">
      <c r="D258" s="142"/>
      <c r="E258" s="129"/>
    </row>
    <row r="259" spans="4:5" x14ac:dyDescent="0.25">
      <c r="D259" s="142"/>
      <c r="E259" s="129"/>
    </row>
    <row r="260" spans="4:5" x14ac:dyDescent="0.25">
      <c r="D260" s="142"/>
      <c r="E260" s="129"/>
    </row>
    <row r="261" spans="4:5" x14ac:dyDescent="0.25">
      <c r="D261" s="142"/>
      <c r="E261" s="129"/>
    </row>
    <row r="262" spans="4:5" x14ac:dyDescent="0.25">
      <c r="D262" s="142"/>
      <c r="E262" s="129"/>
    </row>
    <row r="263" spans="4:5" x14ac:dyDescent="0.25">
      <c r="D263" s="142"/>
      <c r="E263" s="129"/>
    </row>
    <row r="264" spans="4:5" x14ac:dyDescent="0.25">
      <c r="D264" s="142"/>
      <c r="E264" s="129"/>
    </row>
    <row r="265" spans="4:5" x14ac:dyDescent="0.25">
      <c r="D265" s="142"/>
      <c r="E265" s="129"/>
    </row>
    <row r="266" spans="4:5" x14ac:dyDescent="0.25">
      <c r="D266" s="142"/>
      <c r="E266" s="129"/>
    </row>
    <row r="267" spans="4:5" x14ac:dyDescent="0.25">
      <c r="D267" s="142"/>
      <c r="E267" s="129"/>
    </row>
    <row r="268" spans="4:5" x14ac:dyDescent="0.25">
      <c r="D268" s="142"/>
      <c r="E268" s="129"/>
    </row>
    <row r="269" spans="4:5" x14ac:dyDescent="0.25">
      <c r="D269" s="142"/>
      <c r="E269" s="129"/>
    </row>
    <row r="270" spans="4:5" x14ac:dyDescent="0.25">
      <c r="D270" s="142"/>
      <c r="E270" s="129"/>
    </row>
    <row r="271" spans="4:5" x14ac:dyDescent="0.25">
      <c r="D271" s="142"/>
      <c r="E271" s="129"/>
    </row>
    <row r="272" spans="4:5" x14ac:dyDescent="0.25">
      <c r="D272" s="142"/>
      <c r="E272" s="129"/>
    </row>
    <row r="273" spans="4:5" x14ac:dyDescent="0.25">
      <c r="D273" s="142"/>
      <c r="E273" s="129"/>
    </row>
    <row r="274" spans="4:5" x14ac:dyDescent="0.25">
      <c r="D274" s="142"/>
      <c r="E274" s="129"/>
    </row>
    <row r="275" spans="4:5" x14ac:dyDescent="0.25">
      <c r="D275" s="142"/>
      <c r="E275" s="129"/>
    </row>
    <row r="276" spans="4:5" x14ac:dyDescent="0.25">
      <c r="D276" s="142"/>
      <c r="E276" s="129"/>
    </row>
    <row r="277" spans="4:5" x14ac:dyDescent="0.25">
      <c r="D277" s="142"/>
      <c r="E277" s="129"/>
    </row>
    <row r="278" spans="4:5" x14ac:dyDescent="0.25">
      <c r="D278" s="142"/>
      <c r="E278" s="129"/>
    </row>
    <row r="279" spans="4:5" x14ac:dyDescent="0.25">
      <c r="D279" s="142"/>
      <c r="E279" s="129"/>
    </row>
    <row r="280" spans="4:5" x14ac:dyDescent="0.25">
      <c r="D280" s="142"/>
      <c r="E280" s="129"/>
    </row>
    <row r="281" spans="4:5" x14ac:dyDescent="0.25">
      <c r="D281" s="142"/>
      <c r="E281" s="129"/>
    </row>
    <row r="282" spans="4:5" x14ac:dyDescent="0.25">
      <c r="D282" s="142"/>
      <c r="E282" s="129"/>
    </row>
    <row r="283" spans="4:5" x14ac:dyDescent="0.25">
      <c r="D283" s="142"/>
      <c r="E283" s="129"/>
    </row>
    <row r="284" spans="4:5" x14ac:dyDescent="0.25">
      <c r="D284" s="142"/>
      <c r="E284" s="129"/>
    </row>
    <row r="285" spans="4:5" x14ac:dyDescent="0.25">
      <c r="D285" s="142"/>
      <c r="E285" s="129"/>
    </row>
    <row r="286" spans="4:5" x14ac:dyDescent="0.25">
      <c r="D286" s="142"/>
      <c r="E286" s="129"/>
    </row>
    <row r="287" spans="4:5" x14ac:dyDescent="0.25">
      <c r="D287" s="142"/>
      <c r="E287" s="129"/>
    </row>
    <row r="288" spans="4:5" x14ac:dyDescent="0.25">
      <c r="D288" s="142"/>
      <c r="E288" s="129"/>
    </row>
    <row r="289" spans="4:5" x14ac:dyDescent="0.25">
      <c r="D289" s="142"/>
      <c r="E289" s="129"/>
    </row>
    <row r="290" spans="4:5" x14ac:dyDescent="0.25">
      <c r="D290" s="142"/>
      <c r="E290" s="129"/>
    </row>
    <row r="291" spans="4:5" x14ac:dyDescent="0.25">
      <c r="D291" s="142"/>
      <c r="E291" s="129"/>
    </row>
    <row r="292" spans="4:5" x14ac:dyDescent="0.25">
      <c r="D292" s="142"/>
      <c r="E292" s="129"/>
    </row>
    <row r="293" spans="4:5" x14ac:dyDescent="0.25">
      <c r="D293" s="142"/>
      <c r="E293" s="129"/>
    </row>
    <row r="294" spans="4:5" x14ac:dyDescent="0.25">
      <c r="D294" s="142"/>
      <c r="E294" s="129"/>
    </row>
    <row r="295" spans="4:5" x14ac:dyDescent="0.25">
      <c r="D295" s="142"/>
      <c r="E295" s="129"/>
    </row>
    <row r="296" spans="4:5" x14ac:dyDescent="0.25">
      <c r="D296" s="142"/>
      <c r="E296" s="129"/>
    </row>
    <row r="297" spans="4:5" x14ac:dyDescent="0.25">
      <c r="D297" s="142"/>
      <c r="E297" s="129"/>
    </row>
    <row r="298" spans="4:5" x14ac:dyDescent="0.25">
      <c r="D298" s="142"/>
      <c r="E298" s="129"/>
    </row>
    <row r="299" spans="4:5" x14ac:dyDescent="0.25">
      <c r="D299" s="142"/>
      <c r="E299" s="129"/>
    </row>
    <row r="300" spans="4:5" x14ac:dyDescent="0.25">
      <c r="D300" s="142"/>
      <c r="E300" s="129"/>
    </row>
    <row r="301" spans="4:5" x14ac:dyDescent="0.25">
      <c r="D301" s="142"/>
      <c r="E301" s="129"/>
    </row>
    <row r="302" spans="4:5" x14ac:dyDescent="0.25">
      <c r="D302" s="142"/>
      <c r="E302" s="129"/>
    </row>
    <row r="303" spans="4:5" x14ac:dyDescent="0.25">
      <c r="D303" s="142"/>
      <c r="E303" s="129"/>
    </row>
    <row r="304" spans="4:5" x14ac:dyDescent="0.25">
      <c r="D304" s="142"/>
      <c r="E304" s="129"/>
    </row>
    <row r="305" spans="4:5" x14ac:dyDescent="0.25">
      <c r="D305" s="142"/>
      <c r="E305" s="129"/>
    </row>
    <row r="306" spans="4:5" x14ac:dyDescent="0.25">
      <c r="D306" s="142"/>
      <c r="E306" s="129"/>
    </row>
    <row r="307" spans="4:5" x14ac:dyDescent="0.25">
      <c r="D307" s="142"/>
      <c r="E307" s="129"/>
    </row>
    <row r="308" spans="4:5" x14ac:dyDescent="0.25">
      <c r="D308" s="142"/>
      <c r="E308" s="129"/>
    </row>
    <row r="309" spans="4:5" x14ac:dyDescent="0.25">
      <c r="D309" s="142"/>
      <c r="E309" s="129"/>
    </row>
    <row r="310" spans="4:5" x14ac:dyDescent="0.25">
      <c r="D310" s="142"/>
      <c r="E310" s="129"/>
    </row>
    <row r="311" spans="4:5" x14ac:dyDescent="0.25">
      <c r="D311" s="142"/>
      <c r="E311" s="129"/>
    </row>
    <row r="312" spans="4:5" x14ac:dyDescent="0.25">
      <c r="D312" s="142"/>
      <c r="E312" s="129"/>
    </row>
    <row r="313" spans="4:5" x14ac:dyDescent="0.25">
      <c r="D313" s="142"/>
      <c r="E313" s="129"/>
    </row>
    <row r="314" spans="4:5" x14ac:dyDescent="0.25">
      <c r="D314" s="142"/>
      <c r="E314" s="129"/>
    </row>
    <row r="315" spans="4:5" x14ac:dyDescent="0.25">
      <c r="D315" s="142"/>
      <c r="E315" s="129"/>
    </row>
    <row r="316" spans="4:5" x14ac:dyDescent="0.25">
      <c r="D316" s="142"/>
      <c r="E316" s="129"/>
    </row>
    <row r="317" spans="4:5" x14ac:dyDescent="0.25">
      <c r="D317" s="142"/>
      <c r="E317" s="129"/>
    </row>
    <row r="318" spans="4:5" x14ac:dyDescent="0.25">
      <c r="D318" s="142"/>
      <c r="E318" s="129"/>
    </row>
    <row r="319" spans="4:5" x14ac:dyDescent="0.25">
      <c r="D319" s="142"/>
      <c r="E319" s="129"/>
    </row>
    <row r="320" spans="4:5" x14ac:dyDescent="0.25">
      <c r="D320" s="142"/>
      <c r="E320" s="129"/>
    </row>
    <row r="321" spans="4:5" x14ac:dyDescent="0.25">
      <c r="D321" s="142"/>
      <c r="E321" s="129"/>
    </row>
    <row r="322" spans="4:5" x14ac:dyDescent="0.25">
      <c r="D322" s="142"/>
      <c r="E322" s="129"/>
    </row>
    <row r="323" spans="4:5" x14ac:dyDescent="0.25">
      <c r="D323" s="142"/>
      <c r="E323" s="129"/>
    </row>
    <row r="324" spans="4:5" x14ac:dyDescent="0.25">
      <c r="D324" s="142"/>
      <c r="E324" s="129"/>
    </row>
    <row r="325" spans="4:5" x14ac:dyDescent="0.25">
      <c r="D325" s="142"/>
      <c r="E325" s="129"/>
    </row>
    <row r="326" spans="4:5" x14ac:dyDescent="0.25">
      <c r="D326" s="142"/>
      <c r="E326" s="129"/>
    </row>
    <row r="327" spans="4:5" x14ac:dyDescent="0.25">
      <c r="D327" s="142"/>
      <c r="E327" s="129"/>
    </row>
    <row r="328" spans="4:5" x14ac:dyDescent="0.25">
      <c r="D328" s="142"/>
      <c r="E328" s="129"/>
    </row>
    <row r="329" spans="4:5" x14ac:dyDescent="0.25">
      <c r="D329" s="142"/>
      <c r="E329" s="129"/>
    </row>
    <row r="330" spans="4:5" x14ac:dyDescent="0.25">
      <c r="D330" s="142"/>
      <c r="E330" s="129"/>
    </row>
    <row r="331" spans="4:5" x14ac:dyDescent="0.25">
      <c r="D331" s="142"/>
      <c r="E331" s="129"/>
    </row>
    <row r="332" spans="4:5" x14ac:dyDescent="0.25">
      <c r="D332" s="142"/>
      <c r="E332" s="129"/>
    </row>
    <row r="333" spans="4:5" x14ac:dyDescent="0.25">
      <c r="D333" s="142"/>
      <c r="E333" s="129"/>
    </row>
    <row r="334" spans="4:5" x14ac:dyDescent="0.25">
      <c r="D334" s="142"/>
      <c r="E334" s="129"/>
    </row>
    <row r="335" spans="4:5" x14ac:dyDescent="0.25">
      <c r="D335" s="142"/>
      <c r="E335" s="129"/>
    </row>
    <row r="336" spans="4:5" x14ac:dyDescent="0.25">
      <c r="D336" s="142"/>
      <c r="E336" s="129"/>
    </row>
    <row r="337" spans="4:5" x14ac:dyDescent="0.25">
      <c r="D337" s="142"/>
      <c r="E337" s="129"/>
    </row>
    <row r="338" spans="4:5" x14ac:dyDescent="0.25">
      <c r="D338" s="142"/>
      <c r="E338" s="129"/>
    </row>
    <row r="339" spans="4:5" x14ac:dyDescent="0.25">
      <c r="D339" s="142"/>
      <c r="E339" s="129"/>
    </row>
    <row r="340" spans="4:5" x14ac:dyDescent="0.25">
      <c r="D340" s="142"/>
      <c r="E340" s="129"/>
    </row>
    <row r="341" spans="4:5" x14ac:dyDescent="0.25">
      <c r="D341" s="142"/>
      <c r="E341" s="129"/>
    </row>
    <row r="342" spans="4:5" x14ac:dyDescent="0.25">
      <c r="D342" s="142"/>
      <c r="E342" s="129"/>
    </row>
    <row r="343" spans="4:5" x14ac:dyDescent="0.25">
      <c r="D343" s="142"/>
      <c r="E343" s="129"/>
    </row>
    <row r="344" spans="4:5" x14ac:dyDescent="0.25">
      <c r="D344" s="142"/>
      <c r="E344" s="129"/>
    </row>
    <row r="345" spans="4:5" x14ac:dyDescent="0.25">
      <c r="D345" s="142"/>
      <c r="E345" s="129"/>
    </row>
    <row r="346" spans="4:5" x14ac:dyDescent="0.25">
      <c r="D346" s="142"/>
      <c r="E346" s="129"/>
    </row>
    <row r="347" spans="4:5" x14ac:dyDescent="0.25">
      <c r="D347" s="142"/>
      <c r="E347" s="129"/>
    </row>
    <row r="348" spans="4:5" x14ac:dyDescent="0.25">
      <c r="D348" s="142"/>
      <c r="E348" s="129"/>
    </row>
    <row r="349" spans="4:5" x14ac:dyDescent="0.25">
      <c r="D349" s="142"/>
      <c r="E349" s="129"/>
    </row>
    <row r="350" spans="4:5" x14ac:dyDescent="0.25">
      <c r="D350" s="142"/>
      <c r="E350" s="129"/>
    </row>
    <row r="351" spans="4:5" x14ac:dyDescent="0.25">
      <c r="D351" s="142"/>
      <c r="E351" s="129"/>
    </row>
    <row r="352" spans="4:5" x14ac:dyDescent="0.25">
      <c r="D352" s="142"/>
      <c r="E352" s="129"/>
    </row>
    <row r="353" spans="5:5" x14ac:dyDescent="0.25">
      <c r="E353" s="129"/>
    </row>
    <row r="354" spans="5:5" x14ac:dyDescent="0.25">
      <c r="E354" s="129"/>
    </row>
  </sheetData>
  <mergeCells count="15">
    <mergeCell ref="G8:G10"/>
    <mergeCell ref="B56:B79"/>
    <mergeCell ref="C30:C31"/>
    <mergeCell ref="B37:B41"/>
    <mergeCell ref="B42:D42"/>
    <mergeCell ref="B43:B55"/>
    <mergeCell ref="B29:B34"/>
    <mergeCell ref="B35:B36"/>
    <mergeCell ref="B8:D8"/>
    <mergeCell ref="G11:H11"/>
    <mergeCell ref="B3:D3"/>
    <mergeCell ref="B12:C12"/>
    <mergeCell ref="B20:B21"/>
    <mergeCell ref="B18:C18"/>
    <mergeCell ref="B28:D28"/>
  </mergeCells>
  <dataValidations disablePrompts="1" count="1">
    <dataValidation type="list" allowBlank="1" showInputMessage="1" showErrorMessage="1" sqref="C9:C10">
      <formula1>veh_category</formula1>
    </dataValidation>
  </dataValidation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B2:O39"/>
  <sheetViews>
    <sheetView topLeftCell="G1" zoomScale="79" zoomScaleNormal="79" workbookViewId="0">
      <selection activeCell="R34" sqref="R34"/>
    </sheetView>
  </sheetViews>
  <sheetFormatPr defaultRowHeight="15" x14ac:dyDescent="0.25"/>
  <cols>
    <col min="1" max="1" width="9.140625" style="1"/>
    <col min="2" max="2" width="12.42578125" style="58" customWidth="1"/>
    <col min="3" max="3" width="8.85546875" style="1" bestFit="1" customWidth="1"/>
    <col min="4" max="4" width="10.42578125" style="1" customWidth="1"/>
    <col min="5" max="5" width="11" style="1" customWidth="1"/>
    <col min="6" max="6" width="10.28515625" style="1" customWidth="1"/>
    <col min="7" max="7" width="10.7109375" style="1" customWidth="1"/>
    <col min="8" max="8" width="10.5703125" style="1" customWidth="1"/>
    <col min="9" max="9" width="9.7109375" style="1" customWidth="1"/>
    <col min="10" max="10" width="10.28515625" style="1" customWidth="1"/>
    <col min="11" max="11" width="10" style="1" customWidth="1"/>
    <col min="12" max="12" width="11.42578125" style="1" customWidth="1"/>
    <col min="13" max="13" width="13.7109375" style="1" customWidth="1"/>
    <col min="14" max="15" width="16" style="1" bestFit="1" customWidth="1"/>
    <col min="16" max="16384" width="9.140625" style="1"/>
  </cols>
  <sheetData>
    <row r="2" spans="2:15" ht="18.75" x14ac:dyDescent="0.3">
      <c r="B2" s="359" t="s">
        <v>288</v>
      </c>
      <c r="C2" s="360"/>
      <c r="D2" s="360"/>
      <c r="E2" s="360"/>
      <c r="F2" s="360"/>
      <c r="G2" s="360"/>
      <c r="H2" s="360"/>
      <c r="I2" s="360"/>
      <c r="J2" s="360"/>
      <c r="K2" s="360"/>
      <c r="L2" s="360"/>
      <c r="M2" s="360"/>
      <c r="N2" s="360"/>
      <c r="O2" s="361"/>
    </row>
    <row r="3" spans="2:15" ht="63.75" customHeight="1" x14ac:dyDescent="0.25">
      <c r="B3" s="14" t="s">
        <v>71</v>
      </c>
      <c r="C3" s="13" t="s">
        <v>37</v>
      </c>
      <c r="D3" s="13" t="s">
        <v>52</v>
      </c>
      <c r="E3" s="14" t="s">
        <v>218</v>
      </c>
      <c r="F3" s="14" t="s">
        <v>219</v>
      </c>
      <c r="G3" s="14" t="s">
        <v>220</v>
      </c>
      <c r="H3" s="14" t="s">
        <v>221</v>
      </c>
      <c r="I3" s="14" t="s">
        <v>96</v>
      </c>
      <c r="J3" s="14" t="s">
        <v>97</v>
      </c>
      <c r="K3" s="14" t="s">
        <v>104</v>
      </c>
      <c r="L3" s="14" t="s">
        <v>110</v>
      </c>
      <c r="M3" s="14" t="s">
        <v>111</v>
      </c>
      <c r="N3" s="14" t="s">
        <v>333</v>
      </c>
      <c r="O3" s="14" t="s">
        <v>334</v>
      </c>
    </row>
    <row r="4" spans="2:15" x14ac:dyDescent="0.25">
      <c r="B4" s="14" t="s">
        <v>77</v>
      </c>
      <c r="C4" s="6" t="s">
        <v>216</v>
      </c>
      <c r="D4" s="6" t="s">
        <v>78</v>
      </c>
      <c r="E4" s="71">
        <f>'CMP Data Input'!G9*'BAU Assumptions'!G59</f>
        <v>96904</v>
      </c>
      <c r="F4" s="71">
        <f>E4*(1-'Additional Measures'!$C$6)*(1-'Additional Measures'!C11)</f>
        <v>76311.900000000009</v>
      </c>
      <c r="G4" s="72">
        <f>'CMP Data Input'!E21</f>
        <v>6</v>
      </c>
      <c r="H4" s="72">
        <f>G4*(1-'Additional Measures'!$C$7)</f>
        <v>5.1428571428571432</v>
      </c>
      <c r="I4" s="73">
        <f>'Emissions Factors'!J16</f>
        <v>12.68778136947704</v>
      </c>
      <c r="J4" s="73">
        <f>(1-E35/100)</f>
        <v>1.5776768253613778</v>
      </c>
      <c r="K4" s="73">
        <f>I4*J4</f>
        <v>20.017218631875771</v>
      </c>
      <c r="L4" s="73">
        <f>F4*G4*I4/1000000</f>
        <v>5.8093722185363701</v>
      </c>
      <c r="M4" s="73">
        <f>F4*G4*K4/1000000</f>
        <v>9.1653119190830434</v>
      </c>
      <c r="N4" s="175"/>
      <c r="O4" s="176"/>
    </row>
    <row r="5" spans="2:15" x14ac:dyDescent="0.25">
      <c r="B5" s="14" t="s">
        <v>82</v>
      </c>
      <c r="C5" s="6" t="s">
        <v>216</v>
      </c>
      <c r="D5" s="6" t="s">
        <v>53</v>
      </c>
      <c r="E5" s="72">
        <f>'CMP Data Input'!G11*'BAU Assumptions'!G60</f>
        <v>35841</v>
      </c>
      <c r="F5" s="71">
        <f>E5*(1-'Additional Measures'!$C$6)*(1-'Additional Measures'!C11)</f>
        <v>28224.787500000002</v>
      </c>
      <c r="G5" s="72">
        <f>'CMP Data Input'!E22</f>
        <v>9.5</v>
      </c>
      <c r="H5" s="72">
        <f>G5*(1-'Additional Measures'!$C$7)</f>
        <v>8.1428571428571441</v>
      </c>
      <c r="I5" s="73">
        <f>'Emissions Factors'!J17</f>
        <v>23.215973844106006</v>
      </c>
      <c r="J5" s="73">
        <f>1-E36/100</f>
        <v>1.5776768253613778</v>
      </c>
      <c r="K5" s="73">
        <f t="shared" ref="K5:K20" si="0">I5*J5</f>
        <v>36.627303912041945</v>
      </c>
      <c r="L5" s="73">
        <f t="shared" ref="L5:L22" si="1">F5*G5*I5/1000000</f>
        <v>6.2250263193767772</v>
      </c>
      <c r="M5" s="73">
        <f t="shared" ref="M5:M22" si="2">F5*G5*K5/1000000</f>
        <v>9.8210797613453753</v>
      </c>
      <c r="N5" s="177"/>
      <c r="O5" s="178"/>
    </row>
    <row r="6" spans="2:15" x14ac:dyDescent="0.25">
      <c r="B6" s="14" t="s">
        <v>82</v>
      </c>
      <c r="C6" s="6" t="s">
        <v>216</v>
      </c>
      <c r="D6" s="6" t="s">
        <v>55</v>
      </c>
      <c r="E6" s="72">
        <f>'CMP Data Input'!G11*'BAU Assumptions'!G61</f>
        <v>0</v>
      </c>
      <c r="F6" s="71">
        <f>E6*(1-'Additional Measures'!$C$6)*(1-'Additional Measures'!C11)</f>
        <v>0</v>
      </c>
      <c r="G6" s="72">
        <f>'CMP Data Input'!E22</f>
        <v>9.5</v>
      </c>
      <c r="H6" s="72">
        <f>G6*(1-'Additional Measures'!$C$7)</f>
        <v>8.1428571428571441</v>
      </c>
      <c r="I6" s="73">
        <f>'Emissions Factors'!J18</f>
        <v>24.442834250501853</v>
      </c>
      <c r="J6" s="73">
        <f>J5</f>
        <v>1.5776768253613778</v>
      </c>
      <c r="K6" s="73">
        <f t="shared" si="0"/>
        <v>38.562893143166114</v>
      </c>
      <c r="L6" s="73">
        <f t="shared" si="1"/>
        <v>0</v>
      </c>
      <c r="M6" s="73">
        <f t="shared" si="2"/>
        <v>0</v>
      </c>
      <c r="N6" s="177"/>
      <c r="O6" s="178"/>
    </row>
    <row r="7" spans="2:15" x14ac:dyDescent="0.25">
      <c r="B7" s="14" t="s">
        <v>82</v>
      </c>
      <c r="C7" s="6" t="s">
        <v>216</v>
      </c>
      <c r="D7" s="6" t="s">
        <v>81</v>
      </c>
      <c r="E7" s="72">
        <f>'CMP Data Input'!G11*'BAU Assumptions'!G62</f>
        <v>0</v>
      </c>
      <c r="F7" s="71">
        <f>E7*(1-'Additional Measures'!$C$6)*(1-'Additional Measures'!C11)</f>
        <v>0</v>
      </c>
      <c r="G7" s="72">
        <f>'CMP Data Input'!E22</f>
        <v>9.5</v>
      </c>
      <c r="H7" s="72">
        <f>G7*(1-'Additional Measures'!$C$7)</f>
        <v>8.1428571428571441</v>
      </c>
      <c r="I7" s="73">
        <f>'Emissions Factors'!J19</f>
        <v>17.166608301800338</v>
      </c>
      <c r="J7" s="73">
        <f>J6</f>
        <v>1.5776768253613778</v>
      </c>
      <c r="K7" s="73">
        <f t="shared" si="0"/>
        <v>27.083360087806629</v>
      </c>
      <c r="L7" s="73">
        <f t="shared" si="1"/>
        <v>0</v>
      </c>
      <c r="M7" s="73">
        <f t="shared" si="2"/>
        <v>0</v>
      </c>
      <c r="N7" s="177"/>
      <c r="O7" s="178"/>
    </row>
    <row r="8" spans="2:15" ht="45" x14ac:dyDescent="0.25">
      <c r="B8" s="14" t="s">
        <v>92</v>
      </c>
      <c r="C8" s="6" t="s">
        <v>216</v>
      </c>
      <c r="D8" s="6" t="s">
        <v>54</v>
      </c>
      <c r="E8" s="72">
        <f>'CMP Data Input'!$D$11*'BAU Assumptions'!G63</f>
        <v>0</v>
      </c>
      <c r="F8" s="71">
        <f>E8*(1-'Additional Measures'!$C$6)*(1-'Additional Measures'!C11)</f>
        <v>0</v>
      </c>
      <c r="G8" s="72">
        <f>'CMP Data Input'!E22</f>
        <v>9.5</v>
      </c>
      <c r="H8" s="72">
        <f>G8*(1-'Additional Measures'!$C$7)</f>
        <v>8.1428571428571441</v>
      </c>
      <c r="I8" s="73">
        <f>'Emissions Factors'!J20</f>
        <v>41.401820021989053</v>
      </c>
      <c r="J8" s="73">
        <f>J7</f>
        <v>1.5776768253613778</v>
      </c>
      <c r="K8" s="73">
        <f t="shared" si="0"/>
        <v>65.31869197647481</v>
      </c>
      <c r="L8" s="73">
        <f t="shared" si="1"/>
        <v>0</v>
      </c>
      <c r="M8" s="73">
        <f t="shared" si="2"/>
        <v>0</v>
      </c>
      <c r="N8" s="177"/>
      <c r="O8" s="178"/>
    </row>
    <row r="9" spans="2:15" x14ac:dyDescent="0.25">
      <c r="B9" s="14" t="s">
        <v>24</v>
      </c>
      <c r="C9" s="6" t="s">
        <v>216</v>
      </c>
      <c r="D9" s="6" t="s">
        <v>78</v>
      </c>
      <c r="E9" s="72">
        <f>'CMP Data Input'!G10*'BAU Assumptions'!G64</f>
        <v>143763</v>
      </c>
      <c r="F9" s="71">
        <f>E9*(1-'Additional Measures'!$C$6)*(1-'Additional Measures'!C11)</f>
        <v>113213.3625</v>
      </c>
      <c r="G9" s="72">
        <f>'CMP Data Input'!$E$21</f>
        <v>6</v>
      </c>
      <c r="H9" s="72">
        <f>G9*(1-'Additional Measures'!$C$7)</f>
        <v>5.1428571428571432</v>
      </c>
      <c r="I9" s="73">
        <f>'Emissions Factors'!J21</f>
        <v>54.40654032978501</v>
      </c>
      <c r="J9" s="73">
        <f>1-E37/100</f>
        <v>1.4927340610508377</v>
      </c>
      <c r="K9" s="73">
        <f t="shared" si="0"/>
        <v>81.214495894206166</v>
      </c>
      <c r="L9" s="73">
        <f t="shared" si="1"/>
        <v>36.95728423636092</v>
      </c>
      <c r="M9" s="73">
        <f t="shared" si="2"/>
        <v>55.167396983553147</v>
      </c>
      <c r="N9" s="177"/>
      <c r="O9" s="178"/>
    </row>
    <row r="10" spans="2:15" x14ac:dyDescent="0.25">
      <c r="B10" s="14" t="s">
        <v>24</v>
      </c>
      <c r="C10" s="6" t="s">
        <v>216</v>
      </c>
      <c r="D10" s="6" t="s">
        <v>79</v>
      </c>
      <c r="E10" s="72">
        <f>'CMP Data Input'!G10*'BAU Assumptions'!G65</f>
        <v>0</v>
      </c>
      <c r="F10" s="71">
        <f>E10*(1-'Additional Measures'!$C$6)*(1-'Additional Measures'!C11)</f>
        <v>0</v>
      </c>
      <c r="G10" s="72">
        <f>'CMP Data Input'!$E$21</f>
        <v>6</v>
      </c>
      <c r="H10" s="72">
        <f>G10*(1-'Additional Measures'!$C$7)</f>
        <v>5.1428571428571432</v>
      </c>
      <c r="I10" s="73">
        <f>'Emissions Factors'!J22</f>
        <v>48.621421644241522</v>
      </c>
      <c r="J10" s="73">
        <f t="shared" ref="J10:J15" si="3">J9</f>
        <v>1.4927340610508377</v>
      </c>
      <c r="K10" s="73">
        <f t="shared" si="0"/>
        <v>72.578852185073742</v>
      </c>
      <c r="L10" s="73">
        <f t="shared" si="1"/>
        <v>0</v>
      </c>
      <c r="M10" s="73">
        <f t="shared" si="2"/>
        <v>0</v>
      </c>
      <c r="N10" s="177"/>
      <c r="O10" s="178"/>
    </row>
    <row r="11" spans="2:15" x14ac:dyDescent="0.25">
      <c r="B11" s="14" t="s">
        <v>24</v>
      </c>
      <c r="C11" s="6" t="s">
        <v>216</v>
      </c>
      <c r="D11" s="6" t="s">
        <v>55</v>
      </c>
      <c r="E11" s="72">
        <f>'CMP Data Input'!G10*'BAU Assumptions'!G66</f>
        <v>0</v>
      </c>
      <c r="F11" s="71">
        <f>E11*(1-'Additional Measures'!$C$6)*(1-'Additional Measures'!C11)</f>
        <v>0</v>
      </c>
      <c r="G11" s="72">
        <f>'CMP Data Input'!$E$21</f>
        <v>6</v>
      </c>
      <c r="H11" s="72">
        <f>G11*(1-'Additional Measures'!$C$7)</f>
        <v>5.1428571428571432</v>
      </c>
      <c r="I11" s="73">
        <f>'Emissions Factors'!J23</f>
        <v>41.269696593607954</v>
      </c>
      <c r="J11" s="73">
        <f t="shared" si="3"/>
        <v>1.4927340610508377</v>
      </c>
      <c r="K11" s="73">
        <f t="shared" si="0"/>
        <v>61.604681794512324</v>
      </c>
      <c r="L11" s="73">
        <f t="shared" si="1"/>
        <v>0</v>
      </c>
      <c r="M11" s="73">
        <f t="shared" si="2"/>
        <v>0</v>
      </c>
      <c r="N11" s="177"/>
      <c r="O11" s="178"/>
    </row>
    <row r="12" spans="2:15" x14ac:dyDescent="0.25">
      <c r="B12" s="14" t="s">
        <v>26</v>
      </c>
      <c r="C12" s="6" t="s">
        <v>216</v>
      </c>
      <c r="D12" s="6" t="s">
        <v>78</v>
      </c>
      <c r="E12" s="72">
        <f>'CMP Data Input'!G12*'BAU Assumptions'!G67</f>
        <v>0</v>
      </c>
      <c r="F12" s="71">
        <f>E12*(1-'Additional Measures'!$C$6)*(1-'Additional Measures'!C11)</f>
        <v>0</v>
      </c>
      <c r="G12" s="72">
        <f>'CMP Data Input'!$E$22</f>
        <v>9.5</v>
      </c>
      <c r="H12" s="72">
        <f>G12*(1-'Additional Measures'!$C$7)</f>
        <v>8.1428571428571441</v>
      </c>
      <c r="I12" s="73">
        <f>'Emissions Factors'!J24</f>
        <v>54.40654032978501</v>
      </c>
      <c r="J12" s="73">
        <f t="shared" si="3"/>
        <v>1.4927340610508377</v>
      </c>
      <c r="K12" s="73">
        <f t="shared" si="0"/>
        <v>81.214495894206166</v>
      </c>
      <c r="L12" s="73">
        <f t="shared" si="1"/>
        <v>0</v>
      </c>
      <c r="M12" s="73">
        <f t="shared" si="2"/>
        <v>0</v>
      </c>
      <c r="N12" s="177"/>
      <c r="O12" s="178"/>
    </row>
    <row r="13" spans="2:15" x14ac:dyDescent="0.25">
      <c r="B13" s="14" t="s">
        <v>26</v>
      </c>
      <c r="C13" s="6" t="s">
        <v>216</v>
      </c>
      <c r="D13" s="6" t="s">
        <v>79</v>
      </c>
      <c r="E13" s="72">
        <f>'CMP Data Input'!G12*'BAU Assumptions'!G68</f>
        <v>52826</v>
      </c>
      <c r="F13" s="71">
        <f>E13*(1-'Additional Measures'!$C$6)*(1-'Additional Measures'!C11)</f>
        <v>41600.474999999999</v>
      </c>
      <c r="G13" s="72">
        <f>'CMP Data Input'!$E$22</f>
        <v>9.5</v>
      </c>
      <c r="H13" s="72">
        <f>G13*(1-'Additional Measures'!$C$7)</f>
        <v>8.1428571428571441</v>
      </c>
      <c r="I13" s="73">
        <f>'Emissions Factors'!J25</f>
        <v>46.796860014216932</v>
      </c>
      <c r="J13" s="73">
        <f t="shared" si="3"/>
        <v>1.4927340610508377</v>
      </c>
      <c r="K13" s="73">
        <f t="shared" si="0"/>
        <v>69.85526689344961</v>
      </c>
      <c r="L13" s="73">
        <f t="shared" si="1"/>
        <v>18.494330248449348</v>
      </c>
      <c r="M13" s="73">
        <f t="shared" si="2"/>
        <v>27.607116698183141</v>
      </c>
      <c r="N13" s="177"/>
      <c r="O13" s="178"/>
    </row>
    <row r="14" spans="2:15" x14ac:dyDescent="0.25">
      <c r="B14" s="14" t="s">
        <v>80</v>
      </c>
      <c r="C14" s="6" t="s">
        <v>216</v>
      </c>
      <c r="D14" s="6" t="s">
        <v>55</v>
      </c>
      <c r="E14" s="72">
        <f>'CMP Data Input'!G12*'BAU Assumptions'!G69</f>
        <v>0</v>
      </c>
      <c r="F14" s="71">
        <f>E14*(1-'Additional Measures'!$C$6)*(1-'Additional Measures'!C11)</f>
        <v>0</v>
      </c>
      <c r="G14" s="72">
        <f>'CMP Data Input'!$E$22</f>
        <v>9.5</v>
      </c>
      <c r="H14" s="72">
        <f>G14*(1-'Additional Measures'!$C$7)</f>
        <v>8.1428571428571441</v>
      </c>
      <c r="I14" s="73">
        <f>'Emissions Factors'!J26</f>
        <v>41.269696593607954</v>
      </c>
      <c r="J14" s="73">
        <f t="shared" si="3"/>
        <v>1.4927340610508377</v>
      </c>
      <c r="K14" s="73">
        <f t="shared" si="0"/>
        <v>61.604681794512324</v>
      </c>
      <c r="L14" s="73">
        <f t="shared" si="1"/>
        <v>0</v>
      </c>
      <c r="M14" s="73">
        <f t="shared" si="2"/>
        <v>0</v>
      </c>
      <c r="N14" s="177"/>
      <c r="O14" s="178"/>
    </row>
    <row r="15" spans="2:15" x14ac:dyDescent="0.25">
      <c r="B15" s="14" t="s">
        <v>26</v>
      </c>
      <c r="C15" s="6" t="s">
        <v>216</v>
      </c>
      <c r="D15" s="6" t="s">
        <v>81</v>
      </c>
      <c r="E15" s="72">
        <f>'CMP Data Input'!G12*'BAU Assumptions'!G70</f>
        <v>0</v>
      </c>
      <c r="F15" s="71">
        <f>E15*(1-'Additional Measures'!$C$6)*(1-'Additional Measures'!C11)</f>
        <v>0</v>
      </c>
      <c r="G15" s="72">
        <f>'CMP Data Input'!$E$22</f>
        <v>9.5</v>
      </c>
      <c r="H15" s="72">
        <f>G15*(1-'Additional Measures'!$C$7)</f>
        <v>8.1428571428571441</v>
      </c>
      <c r="I15" s="73">
        <f>'Emissions Factors'!J27</f>
        <v>44.056871773266217</v>
      </c>
      <c r="J15" s="73">
        <f t="shared" si="3"/>
        <v>1.4927340610508377</v>
      </c>
      <c r="K15" s="73">
        <f t="shared" si="0"/>
        <v>65.765193119303703</v>
      </c>
      <c r="L15" s="73">
        <f t="shared" si="1"/>
        <v>0</v>
      </c>
      <c r="M15" s="73">
        <f t="shared" si="2"/>
        <v>0</v>
      </c>
      <c r="N15" s="177"/>
      <c r="O15" s="178"/>
    </row>
    <row r="16" spans="2:15" x14ac:dyDescent="0.25">
      <c r="B16" s="14" t="s">
        <v>76</v>
      </c>
      <c r="C16" s="6" t="s">
        <v>215</v>
      </c>
      <c r="D16" s="6" t="s">
        <v>54</v>
      </c>
      <c r="E16" s="72">
        <f>'CMP Data Input'!G15*'BAU Assumptions'!G71</f>
        <v>0</v>
      </c>
      <c r="F16" s="71">
        <f>E16*(1-'Additional Measures'!$C$6)*(1+'Additional Measures'!C11)</f>
        <v>0</v>
      </c>
      <c r="G16" s="72">
        <f>'CMP Data Input'!$E$23</f>
        <v>13</v>
      </c>
      <c r="H16" s="72">
        <f>G16*(1-'Additional Measures'!$C$7)</f>
        <v>11.142857142857144</v>
      </c>
      <c r="I16" s="73">
        <f>'Emissions Factors'!J28</f>
        <v>16.409257935544439</v>
      </c>
      <c r="J16" s="73">
        <f>1-E38/100</f>
        <v>1.5665628031218251</v>
      </c>
      <c r="K16" s="73">
        <f t="shared" si="0"/>
        <v>25.706133108655546</v>
      </c>
      <c r="L16" s="73">
        <f t="shared" si="1"/>
        <v>0</v>
      </c>
      <c r="M16" s="73">
        <f t="shared" si="2"/>
        <v>0</v>
      </c>
      <c r="N16" s="177"/>
      <c r="O16" s="178"/>
    </row>
    <row r="17" spans="2:15" x14ac:dyDescent="0.25">
      <c r="B17" s="14" t="s">
        <v>38</v>
      </c>
      <c r="C17" s="6" t="s">
        <v>215</v>
      </c>
      <c r="D17" s="6" t="s">
        <v>54</v>
      </c>
      <c r="E17" s="72">
        <f>'CMP Data Input'!G15*'BAU Assumptions'!G72</f>
        <v>101333.00000000001</v>
      </c>
      <c r="F17" s="71">
        <f>E17*(1-'Additional Measures'!$C$6)*(1+'Additional Measures'!C11)</f>
        <v>97533.012500000026</v>
      </c>
      <c r="G17" s="72">
        <f>'CMP Data Input'!$E$23</f>
        <v>13</v>
      </c>
      <c r="H17" s="72">
        <f>G17*(1-'Additional Measures'!$C$7)</f>
        <v>11.142857142857144</v>
      </c>
      <c r="I17" s="73">
        <f>'Emissions Factors'!J29</f>
        <v>11.222591969320225</v>
      </c>
      <c r="J17" s="73">
        <f>J16</f>
        <v>1.5665628031218251</v>
      </c>
      <c r="K17" s="73">
        <f t="shared" si="0"/>
        <v>17.580895133750776</v>
      </c>
      <c r="L17" s="73">
        <f t="shared" si="1"/>
        <v>14.229451636739423</v>
      </c>
      <c r="M17" s="73">
        <f t="shared" si="2"/>
        <v>22.291329642936951</v>
      </c>
      <c r="N17" s="177"/>
      <c r="O17" s="178"/>
    </row>
    <row r="18" spans="2:15" x14ac:dyDescent="0.25">
      <c r="B18" s="14" t="s">
        <v>38</v>
      </c>
      <c r="C18" s="6" t="s">
        <v>215</v>
      </c>
      <c r="D18" s="6" t="s">
        <v>55</v>
      </c>
      <c r="E18" s="72">
        <f>'CMP Data Input'!G15*'BAU Assumptions'!G73</f>
        <v>0</v>
      </c>
      <c r="F18" s="71">
        <f>E18*(1-'Additional Measures'!$C$6)*(1+'Additional Measures'!C11)</f>
        <v>0</v>
      </c>
      <c r="G18" s="72">
        <f>'CMP Data Input'!$E$23</f>
        <v>13</v>
      </c>
      <c r="H18" s="72">
        <f>G18*(1-'Additional Measures'!$C$7)</f>
        <v>11.142857142857144</v>
      </c>
      <c r="I18" s="73">
        <f>'Emissions Factors'!J30</f>
        <v>14.658709892714812</v>
      </c>
      <c r="J18" s="73">
        <f>J17</f>
        <v>1.5665628031218251</v>
      </c>
      <c r="K18" s="73">
        <f t="shared" si="0"/>
        <v>22.963789659680945</v>
      </c>
      <c r="L18" s="73">
        <f t="shared" si="1"/>
        <v>0</v>
      </c>
      <c r="M18" s="73">
        <f t="shared" si="2"/>
        <v>0</v>
      </c>
      <c r="N18" s="177"/>
      <c r="O18" s="178"/>
    </row>
    <row r="19" spans="2:15" x14ac:dyDescent="0.25">
      <c r="B19" s="14" t="s">
        <v>1</v>
      </c>
      <c r="C19" s="6" t="s">
        <v>215</v>
      </c>
      <c r="D19" s="6" t="s">
        <v>54</v>
      </c>
      <c r="E19" s="71">
        <f>'CMP Data Input'!G18*'BAU Assumptions'!G74</f>
        <v>31666.562499999993</v>
      </c>
      <c r="F19" s="71">
        <f>E19*(1-'Additional Measures'!$C$6)*(1+'Additional Measures'!C11)</f>
        <v>30479.066406249993</v>
      </c>
      <c r="G19" s="72">
        <f>'CMP Data Input'!$E$23</f>
        <v>13</v>
      </c>
      <c r="H19" s="72">
        <f>G19*(1-'Additional Measures'!$C$7)</f>
        <v>11.142857142857144</v>
      </c>
      <c r="I19" s="73">
        <f>'Emissions Factors'!J31</f>
        <v>11.222591969320225</v>
      </c>
      <c r="J19" s="73">
        <f>J18</f>
        <v>1.5665628031218251</v>
      </c>
      <c r="K19" s="73">
        <f t="shared" si="0"/>
        <v>17.580895133750776</v>
      </c>
      <c r="L19" s="73">
        <f t="shared" si="1"/>
        <v>4.4467036364810673</v>
      </c>
      <c r="M19" s="73">
        <f t="shared" si="2"/>
        <v>6.9660405134177932</v>
      </c>
      <c r="N19" s="177"/>
      <c r="O19" s="178"/>
    </row>
    <row r="20" spans="2:15" x14ac:dyDescent="0.25">
      <c r="B20" s="14" t="s">
        <v>1</v>
      </c>
      <c r="C20" s="6" t="s">
        <v>215</v>
      </c>
      <c r="D20" s="6" t="s">
        <v>55</v>
      </c>
      <c r="E20" s="72">
        <f>'CMP Data Input'!G18*'BAU Assumptions'!G75</f>
        <v>0</v>
      </c>
      <c r="F20" s="71">
        <f>E20*(1-'Additional Measures'!$C$6)*(1+'Additional Measures'!C11)</f>
        <v>0</v>
      </c>
      <c r="G20" s="72">
        <f>'CMP Data Input'!$E$23</f>
        <v>13</v>
      </c>
      <c r="H20" s="72">
        <f>G20*(1-'Additional Measures'!$C$7)</f>
        <v>11.142857142857144</v>
      </c>
      <c r="I20" s="73">
        <f>'Emissions Factors'!J32</f>
        <v>14.658709892714812</v>
      </c>
      <c r="J20" s="73">
        <f>J19</f>
        <v>1.5665628031218251</v>
      </c>
      <c r="K20" s="73">
        <f t="shared" si="0"/>
        <v>22.963789659680945</v>
      </c>
      <c r="L20" s="73">
        <f t="shared" si="1"/>
        <v>0</v>
      </c>
      <c r="M20" s="73">
        <f t="shared" si="2"/>
        <v>0</v>
      </c>
      <c r="N20" s="177"/>
      <c r="O20" s="178"/>
    </row>
    <row r="21" spans="2:15" x14ac:dyDescent="0.25">
      <c r="B21" s="14" t="s">
        <v>2</v>
      </c>
      <c r="C21" s="6" t="s">
        <v>215</v>
      </c>
      <c r="D21" s="6" t="s">
        <v>67</v>
      </c>
      <c r="E21" s="72">
        <f>'CMP Data Input'!G19*'BAU Assumptions'!G76</f>
        <v>101332.99999999898</v>
      </c>
      <c r="F21" s="71">
        <f>E21*(1-'Additional Measures'!$C$6)*(1+'Additional Measures'!C11)</f>
        <v>97533.012499999037</v>
      </c>
      <c r="G21" s="72">
        <f>'CMP Data Input'!$E$23</f>
        <v>13</v>
      </c>
      <c r="H21" s="72">
        <f>G21*(1-'Additional Measures'!$C$7)</f>
        <v>11.142857142857144</v>
      </c>
      <c r="I21" s="73">
        <f>'Emissions Factors'!G33</f>
        <v>53.68</v>
      </c>
      <c r="J21" s="73">
        <v>1</v>
      </c>
      <c r="K21" s="73">
        <f>I21*J21</f>
        <v>53.68</v>
      </c>
      <c r="L21" s="73">
        <f t="shared" si="1"/>
        <v>68.06243744299934</v>
      </c>
      <c r="M21" s="73">
        <f t="shared" si="2"/>
        <v>68.06243744299934</v>
      </c>
      <c r="N21" s="177"/>
      <c r="O21" s="178"/>
    </row>
    <row r="22" spans="2:15" x14ac:dyDescent="0.25">
      <c r="B22" s="14" t="s">
        <v>114</v>
      </c>
      <c r="C22" s="6" t="s">
        <v>215</v>
      </c>
      <c r="D22" s="6" t="s">
        <v>67</v>
      </c>
      <c r="E22" s="71">
        <f>'CMP Data Input'!G17*'BAU Assumptions'!G77</f>
        <v>18999.937500000018</v>
      </c>
      <c r="F22" s="71">
        <f>E22*(1-'Additional Measures'!$C$6)*(1+'Additional Measures'!C11)</f>
        <v>18287.439843750017</v>
      </c>
      <c r="G22" s="72">
        <f>'CMP Data Input'!$E$23</f>
        <v>13</v>
      </c>
      <c r="H22" s="72">
        <f>G22*(1-'Additional Measures'!$C$7)</f>
        <v>11.142857142857144</v>
      </c>
      <c r="I22" s="73">
        <f>'Emissions Factors'!G34</f>
        <v>61</v>
      </c>
      <c r="J22" s="73">
        <v>1</v>
      </c>
      <c r="K22" s="73">
        <f>I22*J22</f>
        <v>61</v>
      </c>
      <c r="L22" s="73">
        <f t="shared" si="1"/>
        <v>14.501939796093763</v>
      </c>
      <c r="M22" s="73">
        <f t="shared" si="2"/>
        <v>14.501939796093763</v>
      </c>
      <c r="N22" s="177"/>
      <c r="O22" s="178"/>
    </row>
    <row r="23" spans="2:15" x14ac:dyDescent="0.25">
      <c r="B23" s="363" t="s">
        <v>287</v>
      </c>
      <c r="C23" s="364"/>
      <c r="D23" s="364"/>
      <c r="E23" s="71">
        <f>SUM(E4:E22)</f>
        <v>582666.49999999895</v>
      </c>
      <c r="F23" s="71">
        <f>SUM(F4:F22)</f>
        <v>503183.05624999909</v>
      </c>
      <c r="G23" s="79"/>
      <c r="H23" s="79"/>
      <c r="I23" s="80"/>
      <c r="J23" s="80"/>
      <c r="K23" s="81"/>
      <c r="L23" s="73"/>
      <c r="M23" s="73"/>
      <c r="N23" s="179"/>
      <c r="O23" s="180"/>
    </row>
    <row r="24" spans="2:15" x14ac:dyDescent="0.25">
      <c r="B24" s="363" t="s">
        <v>107</v>
      </c>
      <c r="C24" s="364"/>
      <c r="D24" s="364"/>
      <c r="E24" s="364"/>
      <c r="F24" s="364"/>
      <c r="G24" s="364"/>
      <c r="H24" s="364"/>
      <c r="I24" s="364"/>
      <c r="J24" s="364"/>
      <c r="K24" s="365"/>
      <c r="L24" s="73">
        <f>SUM(L4:L20)</f>
        <v>86.1621682959439</v>
      </c>
      <c r="M24" s="73">
        <f>SUM(M4:M21)</f>
        <v>199.0807129615188</v>
      </c>
      <c r="N24" s="73">
        <f>SUM(M16:M22)</f>
        <v>111.82174739544784</v>
      </c>
      <c r="O24" s="73">
        <f>SUM(M4:M15)</f>
        <v>101.76090536216472</v>
      </c>
    </row>
    <row r="25" spans="2:15" x14ac:dyDescent="0.25">
      <c r="B25" s="363" t="s">
        <v>108</v>
      </c>
      <c r="C25" s="364"/>
      <c r="D25" s="364"/>
      <c r="E25" s="364"/>
      <c r="F25" s="364"/>
      <c r="G25" s="364"/>
      <c r="H25" s="364"/>
      <c r="I25" s="364"/>
      <c r="J25" s="364"/>
      <c r="K25" s="365"/>
      <c r="L25" s="73">
        <f>L24/'CMP Data Input'!N37</f>
        <v>1296.2704081069187</v>
      </c>
      <c r="M25" s="73">
        <f>M24/'CMP Data Input'!N37</f>
        <v>2995.0782592943715</v>
      </c>
      <c r="N25" s="73">
        <f>N24/'CMP Data Input'!N37</f>
        <v>1682.3070379758487</v>
      </c>
      <c r="O25" s="73">
        <f>O24/'CMP Data Input'!N37</f>
        <v>1530.9462718030561</v>
      </c>
    </row>
    <row r="26" spans="2:15" x14ac:dyDescent="0.25">
      <c r="B26" s="363" t="s">
        <v>109</v>
      </c>
      <c r="C26" s="364"/>
      <c r="D26" s="364"/>
      <c r="E26" s="364"/>
      <c r="F26" s="364"/>
      <c r="G26" s="364"/>
      <c r="H26" s="364"/>
      <c r="I26" s="364"/>
      <c r="J26" s="364"/>
      <c r="K26" s="365"/>
      <c r="L26" s="73">
        <f>L25*365</f>
        <v>473138.69895902532</v>
      </c>
      <c r="M26" s="73">
        <f>M25*365</f>
        <v>1093203.5646424456</v>
      </c>
      <c r="N26" s="73">
        <f>N25*365</f>
        <v>614042.06886118476</v>
      </c>
      <c r="O26" s="73">
        <f>O25*365</f>
        <v>558795.38920811552</v>
      </c>
    </row>
    <row r="27" spans="2:15" x14ac:dyDescent="0.25">
      <c r="B27" s="77"/>
      <c r="C27" s="20"/>
      <c r="D27" s="20"/>
      <c r="E27" s="20"/>
      <c r="F27" s="20"/>
      <c r="G27" s="20"/>
      <c r="H27" s="20"/>
      <c r="I27" s="20"/>
    </row>
    <row r="30" spans="2:15" x14ac:dyDescent="0.25">
      <c r="B30" s="362" t="s">
        <v>105</v>
      </c>
      <c r="C30" s="362"/>
      <c r="D30" s="362"/>
      <c r="E30" s="362"/>
    </row>
    <row r="31" spans="2:15" x14ac:dyDescent="0.25">
      <c r="B31" s="362" t="str">
        <f>'CMP Data Input'!B24</f>
        <v>Average Network Speed</v>
      </c>
      <c r="C31" s="362"/>
      <c r="D31" s="362"/>
      <c r="E31" s="72">
        <f>'Induced Demand'!F10</f>
        <v>17.777777777777779</v>
      </c>
      <c r="F31" s="123"/>
    </row>
    <row r="32" spans="2:15" x14ac:dyDescent="0.25">
      <c r="B32" s="362" t="s">
        <v>101</v>
      </c>
      <c r="C32" s="362"/>
      <c r="D32" s="362"/>
      <c r="E32" s="72">
        <f>ROUNDDOWN(E31/5,0)*5</f>
        <v>15</v>
      </c>
    </row>
    <row r="33" spans="2:6" x14ac:dyDescent="0.25">
      <c r="B33" s="362" t="s">
        <v>102</v>
      </c>
      <c r="C33" s="362"/>
      <c r="D33" s="362"/>
      <c r="E33" s="72">
        <f>E32+5</f>
        <v>20</v>
      </c>
    </row>
    <row r="34" spans="2:6" ht="30" x14ac:dyDescent="0.25">
      <c r="B34" s="14" t="s">
        <v>283</v>
      </c>
      <c r="C34" s="14" t="s">
        <v>100</v>
      </c>
      <c r="D34" s="14" t="s">
        <v>98</v>
      </c>
      <c r="E34" s="14" t="s">
        <v>103</v>
      </c>
    </row>
    <row r="35" spans="2:6" x14ac:dyDescent="0.25">
      <c r="B35" s="14" t="s">
        <v>84</v>
      </c>
      <c r="C35" s="73">
        <f>VLOOKUP($E$32, speed_emission_rel, 2, FALSE)</f>
        <v>-69.521663134167142</v>
      </c>
      <c r="D35" s="73">
        <f>VLOOKUP($E33, speed_emission_rel, 2, FALSE)</f>
        <v>-43.075206788601058</v>
      </c>
      <c r="E35" s="73">
        <f>C35+(D35-C35)/5*($E$33-$E$31)</f>
        <v>-57.767682536137777</v>
      </c>
    </row>
    <row r="36" spans="2:6" x14ac:dyDescent="0.25">
      <c r="B36" s="14" t="s">
        <v>85</v>
      </c>
      <c r="C36" s="73">
        <f>VLOOKUP($E$32, speed_emission_rel, 3, FALSE)</f>
        <v>-69.521663134167142</v>
      </c>
      <c r="D36" s="73">
        <f>VLOOKUP($E33, speed_emission_rel, 3, FALSE)</f>
        <v>-43.075206788601058</v>
      </c>
      <c r="E36" s="73">
        <f>C36+(D36-C36)/5*($E$33-$E$31)</f>
        <v>-57.767682536137777</v>
      </c>
    </row>
    <row r="37" spans="2:6" x14ac:dyDescent="0.25">
      <c r="B37" s="14" t="s">
        <v>99</v>
      </c>
      <c r="C37" s="73">
        <f>VLOOKUP($E$32, speed_emission_rel, 4, FALSE)</f>
        <v>-61.190883078980313</v>
      </c>
      <c r="D37" s="73">
        <f>VLOOKUP($E33, speed_emission_rel, 4, FALSE)</f>
        <v>-34.376559887713093</v>
      </c>
      <c r="E37" s="73">
        <f>C37+(D37-C37)/5*($E$33-$E$31)</f>
        <v>-49.273406105083779</v>
      </c>
    </row>
    <row r="38" spans="2:6" x14ac:dyDescent="0.25">
      <c r="B38" s="14" t="s">
        <v>39</v>
      </c>
      <c r="C38" s="73">
        <f>VLOOKUP($E$32, speed_emission_rel, 6, FALSE)</f>
        <v>-61.190883078980313</v>
      </c>
      <c r="D38" s="73">
        <f>VLOOKUP($E$33, speed_emission_rel, 6, FALSE)</f>
        <v>-50.988026853685248</v>
      </c>
      <c r="E38" s="73">
        <f>C38+(D38-C38)/5*($E$33-$E$31)</f>
        <v>-56.65628031218251</v>
      </c>
    </row>
    <row r="39" spans="2:6" x14ac:dyDescent="0.25">
      <c r="B39" s="78"/>
      <c r="C39" s="7"/>
      <c r="D39" s="63"/>
      <c r="E39" s="63"/>
      <c r="F39" s="7"/>
    </row>
  </sheetData>
  <mergeCells count="9">
    <mergeCell ref="B2:O2"/>
    <mergeCell ref="B32:D32"/>
    <mergeCell ref="B33:D33"/>
    <mergeCell ref="B30:E30"/>
    <mergeCell ref="B23:D23"/>
    <mergeCell ref="B24:K24"/>
    <mergeCell ref="B25:K25"/>
    <mergeCell ref="B26:K26"/>
    <mergeCell ref="B31:D31"/>
  </mergeCells>
  <dataValidations disablePrompts="1" count="2">
    <dataValidation type="list" allowBlank="1" showInputMessage="1" showErrorMessage="1" sqref="D4:D10">
      <formula1>fuel_type</formula1>
    </dataValidation>
    <dataValidation type="list" allowBlank="1" showInputMessage="1" showErrorMessage="1" sqref="C4:C22">
      <formula1>veh_category</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dimension ref="B2:M23"/>
  <sheetViews>
    <sheetView topLeftCell="D22" zoomScale="77" zoomScaleNormal="77" workbookViewId="0">
      <selection activeCell="L20" sqref="L20"/>
    </sheetView>
  </sheetViews>
  <sheetFormatPr defaultRowHeight="15" x14ac:dyDescent="0.25"/>
  <cols>
    <col min="1" max="1" width="9.140625" style="1"/>
    <col min="2" max="2" width="32.42578125" style="1" bestFit="1" customWidth="1"/>
    <col min="3" max="3" width="16.28515625" style="1" customWidth="1"/>
    <col min="4" max="5" width="10.7109375" style="1" bestFit="1" customWidth="1"/>
    <col min="6" max="6" width="8.85546875" style="1" bestFit="1" customWidth="1"/>
    <col min="7" max="7" width="13.28515625" style="1" bestFit="1" customWidth="1"/>
    <col min="8" max="10" width="8" style="1" bestFit="1" customWidth="1"/>
    <col min="11" max="11" width="10" style="1" bestFit="1" customWidth="1"/>
    <col min="12" max="12" width="11.140625" style="1" bestFit="1" customWidth="1"/>
    <col min="13" max="13" width="10" style="1" bestFit="1" customWidth="1"/>
    <col min="14" max="16384" width="9.140625" style="1"/>
  </cols>
  <sheetData>
    <row r="2" spans="2:13" ht="18.75" x14ac:dyDescent="0.3">
      <c r="B2" s="294" t="s">
        <v>326</v>
      </c>
      <c r="C2" s="294"/>
      <c r="D2" s="294"/>
      <c r="E2" s="294"/>
      <c r="F2" s="294"/>
      <c r="G2" s="294"/>
      <c r="H2" s="294"/>
      <c r="I2" s="294"/>
      <c r="J2" s="294"/>
      <c r="K2" s="294"/>
      <c r="L2" s="294"/>
      <c r="M2" s="294"/>
    </row>
    <row r="3" spans="2:13" x14ac:dyDescent="0.25">
      <c r="B3" s="2" t="s">
        <v>234</v>
      </c>
      <c r="C3" s="66">
        <v>2010</v>
      </c>
      <c r="D3" s="7"/>
      <c r="E3" s="7"/>
      <c r="F3" s="7"/>
      <c r="G3" s="7"/>
      <c r="H3" s="7"/>
      <c r="I3" s="7"/>
      <c r="J3" s="7"/>
      <c r="K3" s="7"/>
      <c r="L3" s="7"/>
      <c r="M3" s="19"/>
    </row>
    <row r="4" spans="2:13" ht="45.75" customHeight="1" x14ac:dyDescent="0.25">
      <c r="B4" s="2" t="s">
        <v>134</v>
      </c>
      <c r="C4" s="66" t="s">
        <v>233</v>
      </c>
      <c r="D4" s="66" t="s">
        <v>232</v>
      </c>
      <c r="E4" s="66" t="s">
        <v>231</v>
      </c>
      <c r="F4" s="14" t="s">
        <v>230</v>
      </c>
      <c r="G4" s="8" t="s">
        <v>135</v>
      </c>
      <c r="H4" s="66">
        <v>2016</v>
      </c>
      <c r="I4" s="66">
        <v>2021</v>
      </c>
      <c r="J4" s="66">
        <v>2031</v>
      </c>
      <c r="K4" s="8" t="s">
        <v>136</v>
      </c>
      <c r="L4" s="8" t="s">
        <v>290</v>
      </c>
      <c r="M4" s="8" t="s">
        <v>291</v>
      </c>
    </row>
    <row r="5" spans="2:13" x14ac:dyDescent="0.25">
      <c r="B5" s="13" t="s">
        <v>1</v>
      </c>
      <c r="C5" s="72">
        <f>'CMP Data Input'!E31</f>
        <v>93</v>
      </c>
      <c r="D5" s="72">
        <f>'CMP Data Input'!F31</f>
        <v>65</v>
      </c>
      <c r="E5" s="72">
        <f>'CMP Data Input'!G31</f>
        <v>7</v>
      </c>
      <c r="F5" s="86">
        <f t="shared" ref="F5:F13" si="0">SUM(C5:E5)</f>
        <v>165</v>
      </c>
      <c r="G5" s="72">
        <f>'BAU Assumptions'!E27</f>
        <v>1900</v>
      </c>
      <c r="H5" s="72">
        <f t="shared" ref="H5:H13" si="1">C5*$G5</f>
        <v>176700</v>
      </c>
      <c r="I5" s="72">
        <f t="shared" ref="I5:I13" si="2">D5*$G5</f>
        <v>123500</v>
      </c>
      <c r="J5" s="72">
        <f t="shared" ref="J5:J13" si="3">E5*$G5</f>
        <v>13300</v>
      </c>
      <c r="K5" s="72">
        <f t="shared" ref="K5:K13" si="4">SUM(H5:J5)</f>
        <v>313500</v>
      </c>
      <c r="L5" s="72">
        <f>'BAU Assumptions'!D13</f>
        <v>20</v>
      </c>
      <c r="M5" s="72">
        <f>K5/L5</f>
        <v>15675</v>
      </c>
    </row>
    <row r="6" spans="2:13" x14ac:dyDescent="0.25">
      <c r="B6" s="13" t="s">
        <v>2</v>
      </c>
      <c r="C6" s="72">
        <f>'CMP Data Input'!E32</f>
        <v>29</v>
      </c>
      <c r="D6" s="72">
        <f>'CMP Data Input'!F32</f>
        <v>15</v>
      </c>
      <c r="E6" s="72">
        <f>'CMP Data Input'!G32</f>
        <v>16</v>
      </c>
      <c r="F6" s="86">
        <f t="shared" si="0"/>
        <v>60</v>
      </c>
      <c r="G6" s="72">
        <f>'BAU Assumptions'!E29</f>
        <v>15600</v>
      </c>
      <c r="H6" s="72">
        <f t="shared" si="1"/>
        <v>452400</v>
      </c>
      <c r="I6" s="72">
        <f t="shared" si="2"/>
        <v>234000</v>
      </c>
      <c r="J6" s="72">
        <f t="shared" si="3"/>
        <v>249600</v>
      </c>
      <c r="K6" s="72">
        <f t="shared" si="4"/>
        <v>936000</v>
      </c>
      <c r="L6" s="72">
        <f>'BAU Assumptions'!D14</f>
        <v>20</v>
      </c>
      <c r="M6" s="72">
        <f t="shared" ref="M6:M13" si="5">K6/L6</f>
        <v>46800</v>
      </c>
    </row>
    <row r="7" spans="2:13" x14ac:dyDescent="0.25">
      <c r="B7" s="13" t="s">
        <v>4</v>
      </c>
      <c r="C7" s="72">
        <f>'CMP Data Input'!E34</f>
        <v>0</v>
      </c>
      <c r="D7" s="72">
        <f>'CMP Data Input'!F34</f>
        <v>80</v>
      </c>
      <c r="E7" s="72">
        <f>'CMP Data Input'!G34</f>
        <v>80</v>
      </c>
      <c r="F7" s="86">
        <f t="shared" si="0"/>
        <v>160</v>
      </c>
      <c r="G7" s="72">
        <f>'BAU Assumptions'!E28</f>
        <v>20</v>
      </c>
      <c r="H7" s="72">
        <f t="shared" si="1"/>
        <v>0</v>
      </c>
      <c r="I7" s="72">
        <f t="shared" si="2"/>
        <v>1600</v>
      </c>
      <c r="J7" s="72">
        <f t="shared" si="3"/>
        <v>1600</v>
      </c>
      <c r="K7" s="72">
        <f t="shared" si="4"/>
        <v>3200</v>
      </c>
      <c r="L7" s="72">
        <f>'BAU Assumptions'!D15</f>
        <v>20</v>
      </c>
      <c r="M7" s="72">
        <f t="shared" si="5"/>
        <v>160</v>
      </c>
    </row>
    <row r="8" spans="2:13" x14ac:dyDescent="0.25">
      <c r="B8" s="13" t="s">
        <v>227</v>
      </c>
      <c r="C8" s="72">
        <f>'CMP Data Input'!E40</f>
        <v>50</v>
      </c>
      <c r="D8" s="72">
        <f>'CMP Data Input'!F40</f>
        <v>50</v>
      </c>
      <c r="E8" s="72">
        <f>'CMP Data Input'!G40</f>
        <v>44</v>
      </c>
      <c r="F8" s="86">
        <f t="shared" si="0"/>
        <v>144</v>
      </c>
      <c r="G8" s="72">
        <f>'BAU Assumptions'!E31</f>
        <v>2100</v>
      </c>
      <c r="H8" s="72">
        <f t="shared" si="1"/>
        <v>105000</v>
      </c>
      <c r="I8" s="72">
        <f t="shared" si="2"/>
        <v>105000</v>
      </c>
      <c r="J8" s="72">
        <f t="shared" si="3"/>
        <v>92400</v>
      </c>
      <c r="K8" s="72">
        <f t="shared" si="4"/>
        <v>302400</v>
      </c>
      <c r="L8" s="72">
        <f>'BAU Assumptions'!D16</f>
        <v>20</v>
      </c>
      <c r="M8" s="72">
        <f t="shared" si="5"/>
        <v>15120</v>
      </c>
    </row>
    <row r="9" spans="2:13" x14ac:dyDescent="0.25">
      <c r="B9" s="13" t="s">
        <v>10</v>
      </c>
      <c r="C9" s="72">
        <f>'CMP Data Input'!E41</f>
        <v>200</v>
      </c>
      <c r="D9" s="72">
        <f>'CMP Data Input'!F41</f>
        <v>0</v>
      </c>
      <c r="E9" s="72">
        <f>'CMP Data Input'!G41</f>
        <v>0</v>
      </c>
      <c r="F9" s="86">
        <f t="shared" si="0"/>
        <v>200</v>
      </c>
      <c r="G9" s="72">
        <f>'BAU Assumptions'!E28</f>
        <v>20</v>
      </c>
      <c r="H9" s="72">
        <f t="shared" si="1"/>
        <v>4000</v>
      </c>
      <c r="I9" s="72">
        <f t="shared" si="2"/>
        <v>0</v>
      </c>
      <c r="J9" s="72">
        <f t="shared" si="3"/>
        <v>0</v>
      </c>
      <c r="K9" s="72">
        <f t="shared" si="4"/>
        <v>4000</v>
      </c>
      <c r="L9" s="72">
        <f>'BAU Assumptions'!D17</f>
        <v>20</v>
      </c>
      <c r="M9" s="72">
        <f t="shared" si="5"/>
        <v>200</v>
      </c>
    </row>
    <row r="10" spans="2:13" x14ac:dyDescent="0.25">
      <c r="B10" s="13" t="s">
        <v>11</v>
      </c>
      <c r="C10" s="72">
        <f>'CMP Data Input'!E42</f>
        <v>100</v>
      </c>
      <c r="D10" s="72">
        <f>'CMP Data Input'!F42</f>
        <v>100</v>
      </c>
      <c r="E10" s="72">
        <f>'CMP Data Input'!G42</f>
        <v>30</v>
      </c>
      <c r="F10" s="86">
        <f t="shared" si="0"/>
        <v>230</v>
      </c>
      <c r="G10" s="72">
        <f>'BAU Assumptions'!E32</f>
        <v>1100</v>
      </c>
      <c r="H10" s="72">
        <f t="shared" si="1"/>
        <v>110000</v>
      </c>
      <c r="I10" s="72">
        <f t="shared" si="2"/>
        <v>110000</v>
      </c>
      <c r="J10" s="72">
        <f t="shared" si="3"/>
        <v>33000</v>
      </c>
      <c r="K10" s="72">
        <f t="shared" si="4"/>
        <v>253000</v>
      </c>
      <c r="L10" s="72">
        <f>'BAU Assumptions'!D18</f>
        <v>20</v>
      </c>
      <c r="M10" s="72">
        <f t="shared" si="5"/>
        <v>12650</v>
      </c>
    </row>
    <row r="11" spans="2:13" x14ac:dyDescent="0.25">
      <c r="B11" s="13" t="s">
        <v>13</v>
      </c>
      <c r="C11" s="72">
        <f>'CMP Data Input'!E44</f>
        <v>19</v>
      </c>
      <c r="D11" s="72">
        <f>'CMP Data Input'!F44</f>
        <v>21</v>
      </c>
      <c r="E11" s="72">
        <f>'CMP Data Input'!G44</f>
        <v>10</v>
      </c>
      <c r="F11" s="86">
        <f t="shared" si="0"/>
        <v>50</v>
      </c>
      <c r="G11" s="72">
        <f>'BAU Assumptions'!E30</f>
        <v>875</v>
      </c>
      <c r="H11" s="72">
        <f t="shared" si="1"/>
        <v>16625</v>
      </c>
      <c r="I11" s="72">
        <f t="shared" si="2"/>
        <v>18375</v>
      </c>
      <c r="J11" s="72">
        <f t="shared" si="3"/>
        <v>8750</v>
      </c>
      <c r="K11" s="72">
        <f t="shared" si="4"/>
        <v>43750</v>
      </c>
      <c r="L11" s="72">
        <f>'BAU Assumptions'!D19</f>
        <v>20</v>
      </c>
      <c r="M11" s="72">
        <f t="shared" si="5"/>
        <v>2187.5</v>
      </c>
    </row>
    <row r="12" spans="2:13" x14ac:dyDescent="0.25">
      <c r="B12" s="13" t="s">
        <v>228</v>
      </c>
      <c r="C12" s="72">
        <f>'CMP Data Input'!E46</f>
        <v>30</v>
      </c>
      <c r="D12" s="72">
        <f>'CMP Data Input'!F46</f>
        <v>30</v>
      </c>
      <c r="E12" s="72">
        <f>'CMP Data Input'!G46</f>
        <v>0</v>
      </c>
      <c r="F12" s="86">
        <f t="shared" si="0"/>
        <v>60</v>
      </c>
      <c r="G12" s="72">
        <f>'BAU Assumptions'!E31</f>
        <v>2100</v>
      </c>
      <c r="H12" s="72">
        <f t="shared" si="1"/>
        <v>63000</v>
      </c>
      <c r="I12" s="72">
        <f t="shared" si="2"/>
        <v>63000</v>
      </c>
      <c r="J12" s="72">
        <f t="shared" si="3"/>
        <v>0</v>
      </c>
      <c r="K12" s="72">
        <f t="shared" si="4"/>
        <v>126000</v>
      </c>
      <c r="L12" s="72">
        <f>'BAU Assumptions'!D20</f>
        <v>20</v>
      </c>
      <c r="M12" s="72">
        <f t="shared" si="5"/>
        <v>6300</v>
      </c>
    </row>
    <row r="13" spans="2:13" x14ac:dyDescent="0.25">
      <c r="B13" s="13" t="s">
        <v>229</v>
      </c>
      <c r="C13" s="72">
        <f>'CMP Data Input'!E47</f>
        <v>0</v>
      </c>
      <c r="D13" s="72">
        <f>'CMP Data Input'!F47</f>
        <v>0</v>
      </c>
      <c r="E13" s="72">
        <f>'CMP Data Input'!G47</f>
        <v>50</v>
      </c>
      <c r="F13" s="86">
        <f t="shared" si="0"/>
        <v>50</v>
      </c>
      <c r="G13" s="72">
        <f>'BAU Assumptions'!E32*0.6</f>
        <v>660</v>
      </c>
      <c r="H13" s="72">
        <f t="shared" si="1"/>
        <v>0</v>
      </c>
      <c r="I13" s="72">
        <f t="shared" si="2"/>
        <v>0</v>
      </c>
      <c r="J13" s="72">
        <f t="shared" si="3"/>
        <v>33000</v>
      </c>
      <c r="K13" s="72">
        <f t="shared" si="4"/>
        <v>33000</v>
      </c>
      <c r="L13" s="72">
        <f>'BAU Assumptions'!D21</f>
        <v>20</v>
      </c>
      <c r="M13" s="72">
        <f t="shared" si="5"/>
        <v>1650</v>
      </c>
    </row>
    <row r="14" spans="2:13" x14ac:dyDescent="0.25">
      <c r="B14" s="317" t="s">
        <v>32</v>
      </c>
      <c r="C14" s="317"/>
      <c r="D14" s="317"/>
      <c r="E14" s="317"/>
      <c r="F14" s="317"/>
      <c r="G14" s="317"/>
      <c r="H14" s="72">
        <f>SUM(H5:H13)</f>
        <v>927725</v>
      </c>
      <c r="I14" s="72">
        <f>SUM(I5:I13)</f>
        <v>655475</v>
      </c>
      <c r="J14" s="72">
        <f>SUM(J5:J13)</f>
        <v>431650</v>
      </c>
      <c r="K14" s="72">
        <f>SUM(K5:K13)</f>
        <v>2014850</v>
      </c>
      <c r="L14" s="72"/>
      <c r="M14" s="71">
        <f>SUM(M5:M13)</f>
        <v>100742.5</v>
      </c>
    </row>
    <row r="15" spans="2:13" x14ac:dyDescent="0.25">
      <c r="B15" s="7"/>
      <c r="C15" s="7"/>
      <c r="D15" s="7"/>
      <c r="E15" s="7"/>
      <c r="F15" s="7"/>
      <c r="G15" s="7"/>
      <c r="H15" s="7"/>
      <c r="I15" s="7"/>
      <c r="J15" s="7"/>
      <c r="K15" s="7"/>
      <c r="L15" s="7"/>
      <c r="M15" s="7"/>
    </row>
    <row r="16" spans="2:13" x14ac:dyDescent="0.25">
      <c r="L16" s="7"/>
      <c r="M16" s="7"/>
    </row>
    <row r="17" spans="12:13" x14ac:dyDescent="0.25">
      <c r="L17" s="7"/>
      <c r="M17" s="7"/>
    </row>
    <row r="18" spans="12:13" x14ac:dyDescent="0.25">
      <c r="L18" s="7"/>
      <c r="M18" s="7"/>
    </row>
    <row r="19" spans="12:13" x14ac:dyDescent="0.25">
      <c r="L19" s="7"/>
      <c r="M19" s="7"/>
    </row>
    <row r="20" spans="12:13" ht="48.75" customHeight="1" x14ac:dyDescent="0.25">
      <c r="L20" s="7"/>
      <c r="M20" s="7"/>
    </row>
    <row r="21" spans="12:13" ht="65.25" customHeight="1" x14ac:dyDescent="0.25">
      <c r="L21" s="7"/>
      <c r="M21" s="7"/>
    </row>
    <row r="22" spans="12:13" x14ac:dyDescent="0.25">
      <c r="L22" s="7"/>
      <c r="M22" s="7"/>
    </row>
    <row r="23" spans="12:13" x14ac:dyDescent="0.25">
      <c r="L23" s="7"/>
      <c r="M23" s="7"/>
    </row>
  </sheetData>
  <mergeCells count="2">
    <mergeCell ref="B2:M2"/>
    <mergeCell ref="B14:G14"/>
  </mergeCells>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C3:M98"/>
  <sheetViews>
    <sheetView topLeftCell="A10" zoomScale="85" zoomScaleNormal="85" workbookViewId="0">
      <selection activeCell="H39" sqref="H39"/>
    </sheetView>
  </sheetViews>
  <sheetFormatPr defaultRowHeight="15" x14ac:dyDescent="0.25"/>
  <cols>
    <col min="1" max="3" width="9.140625" style="1"/>
    <col min="4" max="4" width="41.85546875" style="1" customWidth="1"/>
    <col min="5" max="5" width="15" style="1" customWidth="1"/>
    <col min="6" max="6" width="18" style="1" customWidth="1"/>
    <col min="7" max="7" width="19.28515625" style="1" bestFit="1" customWidth="1"/>
    <col min="8" max="8" width="22" style="1" bestFit="1" customWidth="1"/>
    <col min="9" max="9" width="27.42578125" style="1" bestFit="1" customWidth="1"/>
    <col min="10" max="10" width="30" style="1" bestFit="1" customWidth="1"/>
    <col min="11" max="11" width="15.42578125" style="1" bestFit="1" customWidth="1"/>
    <col min="12" max="16384" width="9.140625" style="1"/>
  </cols>
  <sheetData>
    <row r="3" spans="4:11" ht="31.5" x14ac:dyDescent="0.25">
      <c r="D3" s="96" t="s">
        <v>52</v>
      </c>
      <c r="E3" s="96" t="s">
        <v>64</v>
      </c>
      <c r="F3" s="96" t="s">
        <v>69</v>
      </c>
      <c r="G3" s="96" t="s">
        <v>119</v>
      </c>
      <c r="K3" s="6" t="s">
        <v>62</v>
      </c>
    </row>
    <row r="4" spans="4:11" x14ac:dyDescent="0.25">
      <c r="D4" s="97" t="s">
        <v>53</v>
      </c>
      <c r="E4" s="89" t="s">
        <v>65</v>
      </c>
      <c r="F4" s="102">
        <v>2.31</v>
      </c>
      <c r="G4" s="98" t="s">
        <v>295</v>
      </c>
      <c r="K4" s="6" t="s">
        <v>17</v>
      </c>
    </row>
    <row r="5" spans="4:11" x14ac:dyDescent="0.25">
      <c r="D5" s="97" t="s">
        <v>54</v>
      </c>
      <c r="E5" s="89" t="s">
        <v>65</v>
      </c>
      <c r="F5" s="102">
        <v>2.68</v>
      </c>
      <c r="G5" s="98" t="s">
        <v>295</v>
      </c>
    </row>
    <row r="6" spans="4:11" x14ac:dyDescent="0.25">
      <c r="D6" s="89" t="s">
        <v>55</v>
      </c>
      <c r="E6" s="89" t="s">
        <v>66</v>
      </c>
      <c r="F6" s="102">
        <v>2.7</v>
      </c>
      <c r="G6" s="98" t="s">
        <v>295</v>
      </c>
      <c r="K6" s="6" t="s">
        <v>217</v>
      </c>
    </row>
    <row r="7" spans="4:11" ht="30" x14ac:dyDescent="0.25">
      <c r="D7" s="89" t="s">
        <v>186</v>
      </c>
      <c r="E7" s="89" t="s">
        <v>68</v>
      </c>
      <c r="F7" s="242">
        <f>'BAU Assumptions'!E5</f>
        <v>0.85</v>
      </c>
      <c r="G7" s="99" t="s">
        <v>296</v>
      </c>
      <c r="K7" s="6" t="s">
        <v>216</v>
      </c>
    </row>
    <row r="8" spans="4:11" x14ac:dyDescent="0.25">
      <c r="D8" s="371" t="s">
        <v>309</v>
      </c>
      <c r="E8" s="374" t="s">
        <v>187</v>
      </c>
      <c r="F8" s="372">
        <f>'BAU Assumptions'!D8:D9</f>
        <v>0.01</v>
      </c>
      <c r="G8" s="375" t="s">
        <v>297</v>
      </c>
      <c r="K8" s="6" t="s">
        <v>215</v>
      </c>
    </row>
    <row r="9" spans="4:11" ht="30.75" customHeight="1" x14ac:dyDescent="0.25">
      <c r="D9" s="371"/>
      <c r="E9" s="374"/>
      <c r="F9" s="373"/>
      <c r="G9" s="376"/>
    </row>
    <row r="10" spans="4:11" ht="45" x14ac:dyDescent="0.25">
      <c r="D10" s="100" t="s">
        <v>312</v>
      </c>
      <c r="E10" s="89" t="s">
        <v>187</v>
      </c>
      <c r="F10" s="101">
        <v>0.12</v>
      </c>
      <c r="G10" s="98" t="s">
        <v>297</v>
      </c>
    </row>
    <row r="13" spans="4:11" ht="15.75" x14ac:dyDescent="0.25">
      <c r="D13" s="377" t="s">
        <v>299</v>
      </c>
      <c r="E13" s="377"/>
      <c r="F13" s="377"/>
      <c r="G13" s="377"/>
      <c r="H13" s="377"/>
      <c r="I13" s="377"/>
      <c r="J13" s="377"/>
    </row>
    <row r="14" spans="4:11" ht="15.75" x14ac:dyDescent="0.25">
      <c r="D14" s="377" t="s">
        <v>298</v>
      </c>
      <c r="E14" s="377"/>
      <c r="F14" s="377"/>
      <c r="G14" s="377"/>
      <c r="H14" s="377"/>
      <c r="I14" s="377"/>
      <c r="J14" s="377"/>
    </row>
    <row r="15" spans="4:11" ht="30" x14ac:dyDescent="0.25">
      <c r="D15" s="108" t="s">
        <v>71</v>
      </c>
      <c r="E15" s="75" t="s">
        <v>52</v>
      </c>
      <c r="F15" s="14" t="s">
        <v>307</v>
      </c>
      <c r="G15" s="14" t="s">
        <v>308</v>
      </c>
      <c r="H15" s="14" t="s">
        <v>49</v>
      </c>
      <c r="I15" s="14" t="s">
        <v>89</v>
      </c>
      <c r="J15" s="14" t="s">
        <v>89</v>
      </c>
      <c r="K15" s="13" t="s">
        <v>304</v>
      </c>
    </row>
    <row r="16" spans="4:11" x14ac:dyDescent="0.25">
      <c r="D16" s="108" t="s">
        <v>77</v>
      </c>
      <c r="E16" s="13" t="s">
        <v>78</v>
      </c>
      <c r="F16" s="4">
        <v>24.82</v>
      </c>
      <c r="G16" s="94">
        <f>F16*((1-$F$8)^20)</f>
        <v>20.300450191163264</v>
      </c>
      <c r="H16" s="72">
        <f>'CMP Data Input'!J8</f>
        <v>1.6</v>
      </c>
      <c r="I16" s="73">
        <f>F16/H16</f>
        <v>15.512499999999999</v>
      </c>
      <c r="J16" s="73">
        <f>G16/H16</f>
        <v>12.68778136947704</v>
      </c>
      <c r="K16" s="73">
        <f>I16</f>
        <v>15.512499999999999</v>
      </c>
    </row>
    <row r="17" spans="4:11" x14ac:dyDescent="0.25">
      <c r="D17" s="108" t="s">
        <v>82</v>
      </c>
      <c r="E17" s="13" t="s">
        <v>53</v>
      </c>
      <c r="F17" s="4">
        <v>73.8</v>
      </c>
      <c r="G17" s="94">
        <f t="shared" ref="G17:G32" si="0">F17*((1-$F$8)^20)</f>
        <v>60.361531994675623</v>
      </c>
      <c r="H17" s="72">
        <f>'CMP Data Input'!J9</f>
        <v>2.6</v>
      </c>
      <c r="I17" s="73">
        <f t="shared" ref="I17:I32" si="1">F17/H17</f>
        <v>28.384615384615383</v>
      </c>
      <c r="J17" s="73">
        <f t="shared" ref="J17:J32" si="2">G17/H17</f>
        <v>23.215973844106006</v>
      </c>
      <c r="K17" s="366">
        <f>AVERAGE(I17:I20)</f>
        <v>32.469230769230769</v>
      </c>
    </row>
    <row r="18" spans="4:11" x14ac:dyDescent="0.25">
      <c r="D18" s="108" t="s">
        <v>82</v>
      </c>
      <c r="E18" s="13" t="s">
        <v>55</v>
      </c>
      <c r="F18" s="4">
        <v>77.7</v>
      </c>
      <c r="G18" s="94">
        <f t="shared" si="0"/>
        <v>63.551369051304825</v>
      </c>
      <c r="H18" s="72">
        <f>'CMP Data Input'!J9</f>
        <v>2.6</v>
      </c>
      <c r="I18" s="73">
        <f t="shared" si="1"/>
        <v>29.884615384615383</v>
      </c>
      <c r="J18" s="73">
        <f t="shared" si="2"/>
        <v>24.442834250501853</v>
      </c>
      <c r="K18" s="367"/>
    </row>
    <row r="19" spans="4:11" x14ac:dyDescent="0.25">
      <c r="D19" s="108" t="s">
        <v>82</v>
      </c>
      <c r="E19" s="13" t="s">
        <v>81</v>
      </c>
      <c r="F19" s="4">
        <v>54.57</v>
      </c>
      <c r="G19" s="94">
        <f t="shared" si="0"/>
        <v>44.633181584680877</v>
      </c>
      <c r="H19" s="72">
        <f>'CMP Data Input'!J9</f>
        <v>2.6</v>
      </c>
      <c r="I19" s="73">
        <f t="shared" si="1"/>
        <v>20.988461538461539</v>
      </c>
      <c r="J19" s="73">
        <f t="shared" si="2"/>
        <v>17.166608301800338</v>
      </c>
      <c r="K19" s="367"/>
    </row>
    <row r="20" spans="4:11" x14ac:dyDescent="0.25">
      <c r="D20" s="108" t="s">
        <v>92</v>
      </c>
      <c r="E20" s="13" t="s">
        <v>54</v>
      </c>
      <c r="F20" s="4">
        <v>131.61000000000001</v>
      </c>
      <c r="G20" s="94">
        <f t="shared" si="0"/>
        <v>107.64473205717154</v>
      </c>
      <c r="H20" s="72">
        <f>'CMP Data Input'!J10</f>
        <v>2.6</v>
      </c>
      <c r="I20" s="73">
        <f>F20/H20</f>
        <v>50.619230769230775</v>
      </c>
      <c r="J20" s="73">
        <f t="shared" si="2"/>
        <v>41.401820021989053</v>
      </c>
      <c r="K20" s="368"/>
    </row>
    <row r="21" spans="4:11" x14ac:dyDescent="0.25">
      <c r="D21" s="108" t="s">
        <v>24</v>
      </c>
      <c r="E21" s="13" t="s">
        <v>78</v>
      </c>
      <c r="F21" s="4">
        <v>172.95</v>
      </c>
      <c r="G21" s="94">
        <f t="shared" si="0"/>
        <v>141.45700485744104</v>
      </c>
      <c r="H21" s="72">
        <f>'CMP Data Input'!J11</f>
        <v>2.6</v>
      </c>
      <c r="I21" s="73">
        <f t="shared" si="1"/>
        <v>66.519230769230759</v>
      </c>
      <c r="J21" s="73">
        <f t="shared" si="2"/>
        <v>54.40654032978501</v>
      </c>
      <c r="K21" s="366">
        <f>AVERAGE(I21:I27)</f>
        <v>57.782967032967029</v>
      </c>
    </row>
    <row r="22" spans="4:11" x14ac:dyDescent="0.25">
      <c r="D22" s="108" t="s">
        <v>24</v>
      </c>
      <c r="E22" s="13" t="s">
        <v>79</v>
      </c>
      <c r="F22" s="4">
        <v>154.56</v>
      </c>
      <c r="G22" s="94">
        <f t="shared" si="0"/>
        <v>126.41569627502797</v>
      </c>
      <c r="H22" s="72">
        <f>'CMP Data Input'!J11</f>
        <v>2.6</v>
      </c>
      <c r="I22" s="73">
        <f t="shared" si="1"/>
        <v>59.446153846153848</v>
      </c>
      <c r="J22" s="73">
        <f t="shared" si="2"/>
        <v>48.621421644241522</v>
      </c>
      <c r="K22" s="369"/>
    </row>
    <row r="23" spans="4:11" x14ac:dyDescent="0.25">
      <c r="D23" s="108" t="s">
        <v>24</v>
      </c>
      <c r="E23" s="13" t="s">
        <v>55</v>
      </c>
      <c r="F23" s="4">
        <v>131.19</v>
      </c>
      <c r="G23" s="94">
        <f>F23*((1-$F$8)^20)</f>
        <v>107.30121114338068</v>
      </c>
      <c r="H23" s="72">
        <f>'CMP Data Input'!J11</f>
        <v>2.6</v>
      </c>
      <c r="I23" s="73">
        <f t="shared" si="1"/>
        <v>50.457692307692305</v>
      </c>
      <c r="J23" s="73">
        <f t="shared" si="2"/>
        <v>41.269696593607954</v>
      </c>
      <c r="K23" s="369"/>
    </row>
    <row r="24" spans="4:11" x14ac:dyDescent="0.25">
      <c r="D24" s="108" t="s">
        <v>26</v>
      </c>
      <c r="E24" s="13" t="s">
        <v>78</v>
      </c>
      <c r="F24" s="4">
        <v>172.95</v>
      </c>
      <c r="G24" s="94">
        <f t="shared" si="0"/>
        <v>141.45700485744104</v>
      </c>
      <c r="H24" s="72">
        <f>'CMP Data Input'!J11</f>
        <v>2.6</v>
      </c>
      <c r="I24" s="73">
        <f t="shared" si="1"/>
        <v>66.519230769230759</v>
      </c>
      <c r="J24" s="73">
        <f t="shared" si="2"/>
        <v>54.40654032978501</v>
      </c>
      <c r="K24" s="369"/>
    </row>
    <row r="25" spans="4:11" x14ac:dyDescent="0.25">
      <c r="D25" s="108" t="s">
        <v>26</v>
      </c>
      <c r="E25" s="13" t="s">
        <v>79</v>
      </c>
      <c r="F25" s="4">
        <v>148.76</v>
      </c>
      <c r="G25" s="94">
        <f t="shared" si="0"/>
        <v>121.67183603696402</v>
      </c>
      <c r="H25" s="72">
        <f>'CMP Data Input'!J11</f>
        <v>2.6</v>
      </c>
      <c r="I25" s="73">
        <f t="shared" si="1"/>
        <v>57.215384615384608</v>
      </c>
      <c r="J25" s="73">
        <f t="shared" si="2"/>
        <v>46.796860014216932</v>
      </c>
      <c r="K25" s="369"/>
    </row>
    <row r="26" spans="4:11" x14ac:dyDescent="0.25">
      <c r="D26" s="108" t="s">
        <v>80</v>
      </c>
      <c r="E26" s="13" t="s">
        <v>55</v>
      </c>
      <c r="F26" s="4">
        <v>131.19</v>
      </c>
      <c r="G26" s="94">
        <f t="shared" si="0"/>
        <v>107.30121114338068</v>
      </c>
      <c r="H26" s="72">
        <f>'CMP Data Input'!J11</f>
        <v>2.6</v>
      </c>
      <c r="I26" s="73">
        <f t="shared" si="1"/>
        <v>50.457692307692305</v>
      </c>
      <c r="J26" s="73">
        <f t="shared" si="2"/>
        <v>41.269696593607954</v>
      </c>
      <c r="K26" s="369"/>
    </row>
    <row r="27" spans="4:11" x14ac:dyDescent="0.25">
      <c r="D27" s="108" t="s">
        <v>26</v>
      </c>
      <c r="E27" s="13" t="s">
        <v>81</v>
      </c>
      <c r="F27" s="4">
        <v>140.05000000000001</v>
      </c>
      <c r="G27" s="94">
        <f t="shared" si="0"/>
        <v>114.54786661049216</v>
      </c>
      <c r="H27" s="72">
        <f>'CMP Data Input'!J11</f>
        <v>2.6</v>
      </c>
      <c r="I27" s="73">
        <f t="shared" si="1"/>
        <v>53.86538461538462</v>
      </c>
      <c r="J27" s="73">
        <f t="shared" si="2"/>
        <v>44.056871773266217</v>
      </c>
      <c r="K27" s="370"/>
    </row>
    <row r="28" spans="4:11" x14ac:dyDescent="0.25">
      <c r="D28" s="108" t="s">
        <v>76</v>
      </c>
      <c r="E28" s="13" t="s">
        <v>54</v>
      </c>
      <c r="F28" s="4">
        <v>401.25</v>
      </c>
      <c r="G28" s="94">
        <f t="shared" si="0"/>
        <v>328.1851587108888</v>
      </c>
      <c r="H28" s="72">
        <v>20</v>
      </c>
      <c r="I28" s="73">
        <f t="shared" si="1"/>
        <v>20.0625</v>
      </c>
      <c r="J28" s="73">
        <f t="shared" si="2"/>
        <v>16.409257935544439</v>
      </c>
      <c r="K28" s="366">
        <f>AVERAGE(I28:I32)</f>
        <v>16.669833333333333</v>
      </c>
    </row>
    <row r="29" spans="4:11" x14ac:dyDescent="0.25">
      <c r="D29" s="108" t="s">
        <v>38</v>
      </c>
      <c r="E29" s="13" t="s">
        <v>54</v>
      </c>
      <c r="F29" s="4">
        <v>617.45000000000005</v>
      </c>
      <c r="G29" s="94">
        <f t="shared" si="0"/>
        <v>505.01663861941012</v>
      </c>
      <c r="H29" s="72">
        <f>'CMP Data Input'!J15</f>
        <v>45</v>
      </c>
      <c r="I29" s="73">
        <f t="shared" si="1"/>
        <v>13.721111111111112</v>
      </c>
      <c r="J29" s="73">
        <f t="shared" si="2"/>
        <v>11.222591969320225</v>
      </c>
      <c r="K29" s="367"/>
    </row>
    <row r="30" spans="4:11" x14ac:dyDescent="0.25">
      <c r="D30" s="108" t="s">
        <v>38</v>
      </c>
      <c r="E30" s="13" t="s">
        <v>55</v>
      </c>
      <c r="F30" s="4">
        <v>806.5</v>
      </c>
      <c r="G30" s="94">
        <f t="shared" si="0"/>
        <v>659.64194517216652</v>
      </c>
      <c r="H30" s="72">
        <v>45</v>
      </c>
      <c r="I30" s="73">
        <f t="shared" si="1"/>
        <v>17.922222222222221</v>
      </c>
      <c r="J30" s="73">
        <f t="shared" si="2"/>
        <v>14.658709892714812</v>
      </c>
      <c r="K30" s="367"/>
    </row>
    <row r="31" spans="4:11" x14ac:dyDescent="0.25">
      <c r="D31" s="108" t="s">
        <v>1</v>
      </c>
      <c r="E31" s="13" t="s">
        <v>54</v>
      </c>
      <c r="F31" s="4">
        <v>617.45000000000005</v>
      </c>
      <c r="G31" s="94">
        <f t="shared" si="0"/>
        <v>505.01663861941012</v>
      </c>
      <c r="H31" s="72">
        <f>'CMP Data Input'!J15</f>
        <v>45</v>
      </c>
      <c r="I31" s="73">
        <f t="shared" si="1"/>
        <v>13.721111111111112</v>
      </c>
      <c r="J31" s="73">
        <f t="shared" si="2"/>
        <v>11.222591969320225</v>
      </c>
      <c r="K31" s="367"/>
    </row>
    <row r="32" spans="4:11" x14ac:dyDescent="0.25">
      <c r="D32" s="108" t="s">
        <v>1</v>
      </c>
      <c r="E32" s="13" t="s">
        <v>55</v>
      </c>
      <c r="F32" s="4">
        <v>806.5</v>
      </c>
      <c r="G32" s="94">
        <f t="shared" si="0"/>
        <v>659.64194517216652</v>
      </c>
      <c r="H32" s="72">
        <f>'CMP Data Input'!J15</f>
        <v>45</v>
      </c>
      <c r="I32" s="73">
        <f t="shared" si="1"/>
        <v>17.922222222222221</v>
      </c>
      <c r="J32" s="73">
        <f t="shared" si="2"/>
        <v>14.658709892714812</v>
      </c>
      <c r="K32" s="368"/>
    </row>
    <row r="33" spans="4:13" x14ac:dyDescent="0.25">
      <c r="D33" s="108" t="s">
        <v>2</v>
      </c>
      <c r="E33" s="13"/>
      <c r="F33" s="3">
        <f>E43</f>
        <v>61</v>
      </c>
      <c r="G33" s="94">
        <f>F33*(100%-F10)</f>
        <v>53.68</v>
      </c>
      <c r="H33" s="72"/>
      <c r="I33" s="72"/>
      <c r="J33" s="73">
        <f>F39</f>
        <v>53.68</v>
      </c>
      <c r="K33" s="109"/>
    </row>
    <row r="34" spans="4:13" x14ac:dyDescent="0.25">
      <c r="D34" s="108" t="s">
        <v>114</v>
      </c>
      <c r="E34" s="13"/>
      <c r="F34" s="3">
        <f>E43</f>
        <v>61</v>
      </c>
      <c r="G34" s="94">
        <f>F34*(100%-F11)</f>
        <v>61</v>
      </c>
      <c r="H34" s="72"/>
      <c r="I34" s="72"/>
      <c r="J34" s="73">
        <f>F39</f>
        <v>53.68</v>
      </c>
      <c r="K34" s="72"/>
    </row>
    <row r="38" spans="4:13" x14ac:dyDescent="0.25">
      <c r="D38" s="13" t="s">
        <v>301</v>
      </c>
      <c r="E38" s="103" t="s">
        <v>302</v>
      </c>
      <c r="F38" s="13" t="s">
        <v>303</v>
      </c>
      <c r="G38" s="57"/>
    </row>
    <row r="39" spans="4:13" x14ac:dyDescent="0.25">
      <c r="D39" s="13" t="s">
        <v>191</v>
      </c>
      <c r="E39" s="105">
        <v>61</v>
      </c>
      <c r="F39" s="106">
        <f>(1-$F$10)*E39</f>
        <v>53.68</v>
      </c>
    </row>
    <row r="40" spans="4:13" x14ac:dyDescent="0.25">
      <c r="D40" s="13" t="s">
        <v>192</v>
      </c>
      <c r="E40" s="105">
        <v>46</v>
      </c>
      <c r="F40" s="106">
        <f>(1-$F$10)*E40</f>
        <v>40.479999999999997</v>
      </c>
    </row>
    <row r="41" spans="4:13" x14ac:dyDescent="0.25">
      <c r="D41" s="13" t="s">
        <v>207</v>
      </c>
      <c r="E41" s="105">
        <v>40</v>
      </c>
      <c r="F41" s="106">
        <f>(1-$F$10)*E41</f>
        <v>35.200000000000003</v>
      </c>
    </row>
    <row r="42" spans="4:13" x14ac:dyDescent="0.25">
      <c r="D42" s="13" t="s">
        <v>206</v>
      </c>
      <c r="E42" s="97">
        <f>SUM(E39:E41)/3</f>
        <v>49</v>
      </c>
      <c r="F42" s="106">
        <f>(1-$F$10)*E42</f>
        <v>43.12</v>
      </c>
    </row>
    <row r="43" spans="4:13" x14ac:dyDescent="0.25">
      <c r="D43" s="104" t="s">
        <v>235</v>
      </c>
      <c r="E43" s="107">
        <v>61</v>
      </c>
    </row>
    <row r="45" spans="4:13" ht="15.75" x14ac:dyDescent="0.25">
      <c r="D45" s="381" t="s">
        <v>300</v>
      </c>
      <c r="E45" s="381"/>
      <c r="F45" s="381"/>
      <c r="G45" s="381"/>
      <c r="H45" s="381"/>
      <c r="I45" s="381"/>
      <c r="J45" s="381"/>
      <c r="K45" s="381"/>
      <c r="L45" s="381"/>
      <c r="M45" s="381"/>
    </row>
    <row r="46" spans="4:13" ht="15.75" x14ac:dyDescent="0.25">
      <c r="D46" s="381" t="s">
        <v>203</v>
      </c>
      <c r="E46" s="381"/>
      <c r="F46" s="381"/>
      <c r="G46" s="381"/>
      <c r="H46" s="381"/>
      <c r="I46" s="381"/>
      <c r="J46" s="381"/>
      <c r="K46" s="381"/>
      <c r="L46" s="381"/>
      <c r="M46" s="381"/>
    </row>
    <row r="47" spans="4:13" ht="15.75" x14ac:dyDescent="0.25">
      <c r="D47" s="90" t="s">
        <v>194</v>
      </c>
      <c r="E47" s="90" t="s">
        <v>195</v>
      </c>
      <c r="F47" s="90" t="s">
        <v>196</v>
      </c>
      <c r="G47" s="90" t="s">
        <v>197</v>
      </c>
      <c r="H47" s="90"/>
      <c r="I47" s="90" t="s">
        <v>204</v>
      </c>
      <c r="J47" s="90" t="s">
        <v>193</v>
      </c>
      <c r="K47" s="90" t="s">
        <v>198</v>
      </c>
      <c r="L47" s="90" t="s">
        <v>199</v>
      </c>
      <c r="M47" s="90"/>
    </row>
    <row r="48" spans="4:13" x14ac:dyDescent="0.25">
      <c r="D48" s="72">
        <v>2007</v>
      </c>
      <c r="E48" s="72">
        <v>820000</v>
      </c>
      <c r="F48" s="72">
        <v>6.89</v>
      </c>
      <c r="G48" s="72">
        <f>E48*F48</f>
        <v>5649800</v>
      </c>
      <c r="H48" s="112"/>
      <c r="I48" s="72">
        <f>G48*340</f>
        <v>1920932000</v>
      </c>
      <c r="J48" s="72">
        <f>90*10^6</f>
        <v>90000000</v>
      </c>
      <c r="K48" s="72">
        <f>J48/I48</f>
        <v>4.6852257133516442E-2</v>
      </c>
      <c r="L48" s="72">
        <f>K48*'BAU Assumptions'!E5*1000</f>
        <v>39.824418563488976</v>
      </c>
      <c r="M48" s="72"/>
    </row>
    <row r="49" spans="4:13" x14ac:dyDescent="0.25">
      <c r="D49" s="72">
        <v>2011</v>
      </c>
      <c r="E49" s="72">
        <v>1020000</v>
      </c>
      <c r="F49" s="72">
        <v>7.07</v>
      </c>
      <c r="G49" s="72">
        <f>E49*F49</f>
        <v>7211400</v>
      </c>
      <c r="H49" s="112"/>
      <c r="I49" s="72"/>
      <c r="J49" s="72"/>
      <c r="K49" s="72"/>
      <c r="L49" s="72"/>
      <c r="M49" s="72"/>
    </row>
    <row r="50" spans="4:13" x14ac:dyDescent="0.25">
      <c r="D50" s="72">
        <v>2021</v>
      </c>
      <c r="E50" s="72">
        <v>1610000</v>
      </c>
      <c r="F50" s="72">
        <v>7.12</v>
      </c>
      <c r="G50" s="72">
        <f>E50*F50</f>
        <v>11463200</v>
      </c>
      <c r="H50" s="112"/>
      <c r="I50" s="72">
        <f>G50*340</f>
        <v>3897488000</v>
      </c>
      <c r="J50" s="72">
        <f>2*J48</f>
        <v>180000000</v>
      </c>
      <c r="K50" s="72">
        <f>J50/I50</f>
        <v>4.6183593124597175E-2</v>
      </c>
      <c r="L50" s="72">
        <f>K50*'BAU Assumptions'!E5*1000</f>
        <v>39.256054155907599</v>
      </c>
      <c r="M50" s="72"/>
    </row>
    <row r="51" spans="4:13" x14ac:dyDescent="0.25">
      <c r="D51" s="72"/>
      <c r="E51" s="72" t="s">
        <v>200</v>
      </c>
      <c r="F51" s="72"/>
      <c r="G51" s="72">
        <f>14.7+11.6</f>
        <v>26.299999999999997</v>
      </c>
      <c r="H51" s="72"/>
      <c r="I51" s="72"/>
      <c r="J51" s="72"/>
      <c r="K51" s="72"/>
      <c r="L51" s="72"/>
      <c r="M51" s="72"/>
    </row>
    <row r="52" spans="4:13" x14ac:dyDescent="0.25">
      <c r="D52" s="72"/>
      <c r="E52" s="72" t="s">
        <v>201</v>
      </c>
      <c r="F52" s="72"/>
      <c r="G52" s="72">
        <f>3.4+3.3</f>
        <v>6.6999999999999993</v>
      </c>
      <c r="H52" s="72"/>
      <c r="I52" s="72"/>
      <c r="J52" s="72"/>
      <c r="K52" s="72"/>
      <c r="L52" s="72"/>
      <c r="M52" s="72"/>
    </row>
    <row r="53" spans="4:13" x14ac:dyDescent="0.25">
      <c r="D53" s="72"/>
      <c r="E53" s="72" t="s">
        <v>202</v>
      </c>
      <c r="F53" s="72"/>
      <c r="G53" s="113">
        <f>G51/(G51+G52)</f>
        <v>0.79696969696969688</v>
      </c>
      <c r="H53" s="72"/>
      <c r="I53" s="72"/>
      <c r="J53" s="72"/>
      <c r="K53" s="72"/>
      <c r="L53" s="72"/>
      <c r="M53" s="72"/>
    </row>
    <row r="54" spans="4:13" ht="15.75" x14ac:dyDescent="0.25">
      <c r="D54" s="381" t="s">
        <v>306</v>
      </c>
      <c r="E54" s="381"/>
      <c r="F54" s="381"/>
      <c r="G54" s="381"/>
      <c r="H54" s="381"/>
      <c r="I54" s="381"/>
      <c r="J54" s="381"/>
      <c r="K54" s="381"/>
      <c r="L54" s="381"/>
      <c r="M54" s="381"/>
    </row>
    <row r="55" spans="4:13" x14ac:dyDescent="0.25">
      <c r="D55" s="72">
        <v>2014</v>
      </c>
      <c r="E55" s="72"/>
      <c r="F55" s="72"/>
      <c r="G55" s="72">
        <f>2897910</f>
        <v>2897910</v>
      </c>
      <c r="H55" s="72"/>
      <c r="I55" s="72">
        <f>G55*340</f>
        <v>985289400</v>
      </c>
      <c r="J55" s="72">
        <v>111200000</v>
      </c>
      <c r="K55" s="72">
        <f>J55/I55</f>
        <v>0.11286024187411334</v>
      </c>
      <c r="L55" s="72">
        <f>K55*'BAU Assumptions'!E5*1000</f>
        <v>95.931205592996335</v>
      </c>
      <c r="M55" s="72"/>
    </row>
    <row r="56" spans="4:13" x14ac:dyDescent="0.25">
      <c r="D56" s="72">
        <v>2031</v>
      </c>
      <c r="E56" s="72"/>
      <c r="F56" s="72"/>
      <c r="G56" s="72">
        <v>6253020</v>
      </c>
      <c r="H56" s="72"/>
      <c r="I56" s="72">
        <f>G56*340</f>
        <v>2126026800</v>
      </c>
      <c r="J56" s="72">
        <v>153500000</v>
      </c>
      <c r="K56" s="72">
        <f>J56/I56</f>
        <v>7.2200406881042137E-2</v>
      </c>
      <c r="L56" s="72">
        <f>K56*'BAU Assumptions'!E5*1000</f>
        <v>61.370345848885819</v>
      </c>
      <c r="M56" s="72"/>
    </row>
    <row r="57" spans="4:13" x14ac:dyDescent="0.25">
      <c r="D57" s="72"/>
      <c r="E57" s="72"/>
      <c r="F57" s="72"/>
      <c r="G57" s="72"/>
      <c r="H57" s="72"/>
      <c r="I57" s="72"/>
      <c r="J57" s="72"/>
      <c r="K57" s="72"/>
      <c r="L57" s="72"/>
      <c r="M57" s="72"/>
    </row>
    <row r="58" spans="4:13" x14ac:dyDescent="0.25">
      <c r="D58" s="72"/>
      <c r="E58" s="72" t="s">
        <v>200</v>
      </c>
      <c r="F58" s="72"/>
      <c r="G58" s="72"/>
      <c r="H58" s="72"/>
      <c r="I58" s="72"/>
      <c r="J58" s="72"/>
      <c r="K58" s="72"/>
      <c r="L58" s="72"/>
      <c r="M58" s="72"/>
    </row>
    <row r="59" spans="4:13" x14ac:dyDescent="0.25">
      <c r="D59" s="72"/>
      <c r="E59" s="72" t="s">
        <v>201</v>
      </c>
      <c r="F59" s="72"/>
      <c r="G59" s="72"/>
      <c r="H59" s="72"/>
      <c r="I59" s="72"/>
      <c r="J59" s="72"/>
      <c r="K59" s="72"/>
      <c r="L59" s="72"/>
      <c r="M59" s="72"/>
    </row>
    <row r="60" spans="4:13" x14ac:dyDescent="0.25">
      <c r="D60" s="72"/>
      <c r="E60" s="72" t="s">
        <v>205</v>
      </c>
      <c r="F60" s="72"/>
      <c r="G60" s="72"/>
      <c r="H60" s="72"/>
      <c r="I60" s="72"/>
      <c r="J60" s="72"/>
      <c r="K60" s="72"/>
      <c r="L60" s="72"/>
      <c r="M60" s="72"/>
    </row>
    <row r="63" spans="4:13" ht="15.75" x14ac:dyDescent="0.25">
      <c r="E63" s="378" t="s">
        <v>305</v>
      </c>
      <c r="F63" s="379"/>
      <c r="G63" s="379"/>
      <c r="H63" s="379"/>
      <c r="I63" s="379"/>
      <c r="J63" s="379"/>
      <c r="K63" s="379"/>
      <c r="L63" s="380"/>
    </row>
    <row r="64" spans="4:13" ht="63" x14ac:dyDescent="0.25">
      <c r="E64" s="91" t="s">
        <v>71</v>
      </c>
      <c r="F64" s="91" t="s">
        <v>52</v>
      </c>
      <c r="G64" s="91" t="s">
        <v>185</v>
      </c>
      <c r="H64" s="91" t="s">
        <v>180</v>
      </c>
      <c r="I64" s="91" t="s">
        <v>181</v>
      </c>
      <c r="J64" s="91" t="s">
        <v>182</v>
      </c>
      <c r="K64" s="91" t="s">
        <v>183</v>
      </c>
      <c r="L64" s="91" t="s">
        <v>184</v>
      </c>
    </row>
    <row r="65" spans="5:12" x14ac:dyDescent="0.25">
      <c r="E65" s="382" t="s">
        <v>165</v>
      </c>
      <c r="F65" s="110" t="s">
        <v>166</v>
      </c>
      <c r="G65" s="110" t="s">
        <v>167</v>
      </c>
      <c r="H65" s="110">
        <v>1.8</v>
      </c>
      <c r="I65" s="110">
        <v>2.4159999999999999</v>
      </c>
      <c r="J65" s="111">
        <f t="shared" ref="J65:J85" si="3">I65*H65/100*1000</f>
        <v>43.488</v>
      </c>
      <c r="K65" s="110">
        <v>1.26</v>
      </c>
      <c r="L65" s="111">
        <f t="shared" ref="L65:L85" si="4">J65/K65</f>
        <v>34.514285714285712</v>
      </c>
    </row>
    <row r="66" spans="5:12" x14ac:dyDescent="0.25">
      <c r="E66" s="383"/>
      <c r="F66" s="110"/>
      <c r="G66" s="110" t="s">
        <v>168</v>
      </c>
      <c r="H66" s="110">
        <v>1.8</v>
      </c>
      <c r="I66" s="110">
        <v>2.4159999999999999</v>
      </c>
      <c r="J66" s="111">
        <f t="shared" si="3"/>
        <v>43.488</v>
      </c>
      <c r="K66" s="110">
        <v>1.26</v>
      </c>
      <c r="L66" s="111">
        <f t="shared" si="4"/>
        <v>34.514285714285712</v>
      </c>
    </row>
    <row r="67" spans="5:12" x14ac:dyDescent="0.25">
      <c r="E67" s="384"/>
      <c r="F67" s="110"/>
      <c r="G67" s="110" t="s">
        <v>169</v>
      </c>
      <c r="H67" s="110"/>
      <c r="I67" s="110">
        <v>2.4159999999999999</v>
      </c>
      <c r="J67" s="111">
        <f t="shared" si="3"/>
        <v>0</v>
      </c>
      <c r="K67" s="110">
        <v>1.26</v>
      </c>
      <c r="L67" s="111">
        <f t="shared" si="4"/>
        <v>0</v>
      </c>
    </row>
    <row r="68" spans="5:12" x14ac:dyDescent="0.25">
      <c r="E68" s="382" t="s">
        <v>170</v>
      </c>
      <c r="F68" s="110" t="s">
        <v>166</v>
      </c>
      <c r="G68" s="110" t="s">
        <v>167</v>
      </c>
      <c r="H68" s="110">
        <v>3.5</v>
      </c>
      <c r="I68" s="110">
        <v>2.4159999999999999</v>
      </c>
      <c r="J68" s="111">
        <f t="shared" si="3"/>
        <v>84.56</v>
      </c>
      <c r="K68" s="110">
        <v>1.92</v>
      </c>
      <c r="L68" s="111">
        <f t="shared" si="4"/>
        <v>44.041666666666671</v>
      </c>
    </row>
    <row r="69" spans="5:12" x14ac:dyDescent="0.25">
      <c r="E69" s="383"/>
      <c r="F69" s="110"/>
      <c r="G69" s="110" t="s">
        <v>168</v>
      </c>
      <c r="H69" s="110">
        <v>3.5</v>
      </c>
      <c r="I69" s="110">
        <v>2.4159999999999999</v>
      </c>
      <c r="J69" s="111">
        <f t="shared" si="3"/>
        <v>84.56</v>
      </c>
      <c r="K69" s="110">
        <v>1.92</v>
      </c>
      <c r="L69" s="111">
        <f t="shared" si="4"/>
        <v>44.041666666666671</v>
      </c>
    </row>
    <row r="70" spans="5:12" x14ac:dyDescent="0.25">
      <c r="E70" s="384"/>
      <c r="F70" s="110"/>
      <c r="G70" s="110" t="s">
        <v>169</v>
      </c>
      <c r="H70" s="110"/>
      <c r="I70" s="110">
        <v>2.4159999999999999</v>
      </c>
      <c r="J70" s="111">
        <f t="shared" si="3"/>
        <v>0</v>
      </c>
      <c r="K70" s="110">
        <v>1.92</v>
      </c>
      <c r="L70" s="111">
        <f t="shared" si="4"/>
        <v>0</v>
      </c>
    </row>
    <row r="71" spans="5:12" x14ac:dyDescent="0.25">
      <c r="E71" s="382" t="s">
        <v>171</v>
      </c>
      <c r="F71" s="110" t="s">
        <v>166</v>
      </c>
      <c r="G71" s="110" t="s">
        <v>172</v>
      </c>
      <c r="H71" s="110">
        <v>8</v>
      </c>
      <c r="I71" s="110">
        <v>2.4159999999999999</v>
      </c>
      <c r="J71" s="111">
        <f t="shared" si="3"/>
        <v>193.28</v>
      </c>
      <c r="K71" s="110">
        <v>2.38</v>
      </c>
      <c r="L71" s="111">
        <f t="shared" si="4"/>
        <v>81.210084033613455</v>
      </c>
    </row>
    <row r="72" spans="5:12" x14ac:dyDescent="0.25">
      <c r="E72" s="383"/>
      <c r="F72" s="110"/>
      <c r="G72" s="110" t="s">
        <v>173</v>
      </c>
      <c r="H72" s="110">
        <v>8</v>
      </c>
      <c r="I72" s="110">
        <v>2.4159999999999999</v>
      </c>
      <c r="J72" s="111">
        <f t="shared" si="3"/>
        <v>193.28</v>
      </c>
      <c r="K72" s="110">
        <v>2.38</v>
      </c>
      <c r="L72" s="111">
        <f t="shared" si="4"/>
        <v>81.210084033613455</v>
      </c>
    </row>
    <row r="73" spans="5:12" x14ac:dyDescent="0.25">
      <c r="E73" s="383"/>
      <c r="F73" s="110"/>
      <c r="G73" s="110" t="s">
        <v>174</v>
      </c>
      <c r="H73" s="110">
        <v>8</v>
      </c>
      <c r="I73" s="110">
        <v>2.4159999999999999</v>
      </c>
      <c r="J73" s="111">
        <f t="shared" si="3"/>
        <v>193.28</v>
      </c>
      <c r="K73" s="110">
        <v>2.38</v>
      </c>
      <c r="L73" s="111">
        <f t="shared" si="4"/>
        <v>81.210084033613455</v>
      </c>
    </row>
    <row r="74" spans="5:12" x14ac:dyDescent="0.25">
      <c r="E74" s="383"/>
      <c r="F74" s="110"/>
      <c r="G74" s="110" t="s">
        <v>175</v>
      </c>
      <c r="H74" s="110">
        <v>8</v>
      </c>
      <c r="I74" s="110">
        <v>2.4159999999999999</v>
      </c>
      <c r="J74" s="111">
        <f t="shared" si="3"/>
        <v>193.28</v>
      </c>
      <c r="K74" s="110">
        <v>2.38</v>
      </c>
      <c r="L74" s="111">
        <f t="shared" si="4"/>
        <v>81.210084033613455</v>
      </c>
    </row>
    <row r="75" spans="5:12" x14ac:dyDescent="0.25">
      <c r="E75" s="383"/>
      <c r="F75" s="110"/>
      <c r="G75" s="110" t="s">
        <v>169</v>
      </c>
      <c r="H75" s="110">
        <v>8</v>
      </c>
      <c r="I75" s="110">
        <v>2.4159999999999999</v>
      </c>
      <c r="J75" s="111">
        <f t="shared" si="3"/>
        <v>193.28</v>
      </c>
      <c r="K75" s="110">
        <v>2.38</v>
      </c>
      <c r="L75" s="111">
        <f t="shared" si="4"/>
        <v>81.210084033613455</v>
      </c>
    </row>
    <row r="76" spans="5:12" x14ac:dyDescent="0.25">
      <c r="E76" s="383"/>
      <c r="F76" s="110" t="s">
        <v>176</v>
      </c>
      <c r="G76" s="110" t="s">
        <v>172</v>
      </c>
      <c r="H76" s="110">
        <v>7</v>
      </c>
      <c r="I76" s="110">
        <v>2.5819999999999999</v>
      </c>
      <c r="J76" s="111">
        <f t="shared" si="3"/>
        <v>180.73999999999998</v>
      </c>
      <c r="K76" s="110">
        <v>2.38</v>
      </c>
      <c r="L76" s="111">
        <f t="shared" si="4"/>
        <v>75.941176470588232</v>
      </c>
    </row>
    <row r="77" spans="5:12" x14ac:dyDescent="0.25">
      <c r="E77" s="383"/>
      <c r="F77" s="110"/>
      <c r="G77" s="110" t="s">
        <v>173</v>
      </c>
      <c r="H77" s="110">
        <v>7</v>
      </c>
      <c r="I77" s="110">
        <v>2.5819999999999999</v>
      </c>
      <c r="J77" s="111">
        <f t="shared" si="3"/>
        <v>180.73999999999998</v>
      </c>
      <c r="K77" s="110">
        <v>2.38</v>
      </c>
      <c r="L77" s="111">
        <f t="shared" si="4"/>
        <v>75.941176470588232</v>
      </c>
    </row>
    <row r="78" spans="5:12" x14ac:dyDescent="0.25">
      <c r="E78" s="383"/>
      <c r="F78" s="110"/>
      <c r="G78" s="110" t="s">
        <v>174</v>
      </c>
      <c r="H78" s="110">
        <v>7</v>
      </c>
      <c r="I78" s="110">
        <v>2.5819999999999999</v>
      </c>
      <c r="J78" s="111">
        <f t="shared" si="3"/>
        <v>180.73999999999998</v>
      </c>
      <c r="K78" s="110">
        <v>2.38</v>
      </c>
      <c r="L78" s="111">
        <f t="shared" si="4"/>
        <v>75.941176470588232</v>
      </c>
    </row>
    <row r="79" spans="5:12" x14ac:dyDescent="0.25">
      <c r="E79" s="383"/>
      <c r="F79" s="110"/>
      <c r="G79" s="110" t="s">
        <v>175</v>
      </c>
      <c r="H79" s="110">
        <v>7</v>
      </c>
      <c r="I79" s="110">
        <v>2.5819999999999999</v>
      </c>
      <c r="J79" s="111">
        <f t="shared" si="3"/>
        <v>180.73999999999998</v>
      </c>
      <c r="K79" s="110">
        <v>2.38</v>
      </c>
      <c r="L79" s="111">
        <f t="shared" si="4"/>
        <v>75.941176470588232</v>
      </c>
    </row>
    <row r="80" spans="5:12" x14ac:dyDescent="0.25">
      <c r="E80" s="384"/>
      <c r="F80" s="110"/>
      <c r="G80" s="110" t="s">
        <v>169</v>
      </c>
      <c r="H80" s="110">
        <v>7</v>
      </c>
      <c r="I80" s="110">
        <v>2.5819999999999999</v>
      </c>
      <c r="J80" s="111">
        <f t="shared" si="3"/>
        <v>180.73999999999998</v>
      </c>
      <c r="K80" s="110">
        <v>2.38</v>
      </c>
      <c r="L80" s="111">
        <f t="shared" si="4"/>
        <v>75.941176470588232</v>
      </c>
    </row>
    <row r="81" spans="3:12" x14ac:dyDescent="0.25">
      <c r="E81" s="382" t="s">
        <v>179</v>
      </c>
      <c r="F81" s="110" t="s">
        <v>176</v>
      </c>
      <c r="G81" s="110" t="s">
        <v>172</v>
      </c>
      <c r="H81" s="110">
        <v>28</v>
      </c>
      <c r="I81" s="110">
        <v>2.5819999999999999</v>
      </c>
      <c r="J81" s="111">
        <f t="shared" si="3"/>
        <v>722.95999999999992</v>
      </c>
      <c r="K81" s="110">
        <v>41.34</v>
      </c>
      <c r="L81" s="111">
        <f t="shared" si="4"/>
        <v>17.48814707305273</v>
      </c>
    </row>
    <row r="82" spans="3:12" x14ac:dyDescent="0.25">
      <c r="E82" s="383"/>
      <c r="F82" s="110"/>
      <c r="G82" s="110" t="s">
        <v>173</v>
      </c>
      <c r="H82" s="110">
        <v>28</v>
      </c>
      <c r="I82" s="110">
        <v>2.5819999999999999</v>
      </c>
      <c r="J82" s="111">
        <f t="shared" si="3"/>
        <v>722.95999999999992</v>
      </c>
      <c r="K82" s="110">
        <v>41.34</v>
      </c>
      <c r="L82" s="111">
        <f t="shared" si="4"/>
        <v>17.48814707305273</v>
      </c>
    </row>
    <row r="83" spans="3:12" x14ac:dyDescent="0.25">
      <c r="E83" s="383"/>
      <c r="F83" s="110"/>
      <c r="G83" s="110" t="s">
        <v>177</v>
      </c>
      <c r="H83" s="110">
        <v>28</v>
      </c>
      <c r="I83" s="110">
        <v>2.5819999999999999</v>
      </c>
      <c r="J83" s="111">
        <f t="shared" si="3"/>
        <v>722.95999999999992</v>
      </c>
      <c r="K83" s="110">
        <v>41.34</v>
      </c>
      <c r="L83" s="111">
        <f t="shared" si="4"/>
        <v>17.48814707305273</v>
      </c>
    </row>
    <row r="84" spans="3:12" x14ac:dyDescent="0.25">
      <c r="E84" s="383"/>
      <c r="F84" s="110"/>
      <c r="G84" s="110" t="s">
        <v>178</v>
      </c>
      <c r="H84" s="110">
        <v>28</v>
      </c>
      <c r="I84" s="110">
        <v>2.5819999999999999</v>
      </c>
      <c r="J84" s="111">
        <f t="shared" si="3"/>
        <v>722.95999999999992</v>
      </c>
      <c r="K84" s="110">
        <v>41.34</v>
      </c>
      <c r="L84" s="111">
        <f t="shared" si="4"/>
        <v>17.48814707305273</v>
      </c>
    </row>
    <row r="85" spans="3:12" x14ac:dyDescent="0.25">
      <c r="E85" s="384"/>
      <c r="F85" s="110"/>
      <c r="G85" s="110" t="s">
        <v>169</v>
      </c>
      <c r="H85" s="110">
        <v>28</v>
      </c>
      <c r="I85" s="110">
        <v>2.5819999999999999</v>
      </c>
      <c r="J85" s="111">
        <f t="shared" si="3"/>
        <v>722.95999999999992</v>
      </c>
      <c r="K85" s="110">
        <v>41.34</v>
      </c>
      <c r="L85" s="111">
        <f t="shared" si="4"/>
        <v>17.48814707305273</v>
      </c>
    </row>
    <row r="90" spans="3:12" x14ac:dyDescent="0.25">
      <c r="C90" s="385" t="s">
        <v>447</v>
      </c>
      <c r="D90" s="385"/>
      <c r="E90" s="385"/>
    </row>
    <row r="91" spans="3:12" x14ac:dyDescent="0.25">
      <c r="C91" s="6" t="s">
        <v>441</v>
      </c>
      <c r="D91" s="6"/>
      <c r="E91" s="6">
        <v>1846</v>
      </c>
    </row>
    <row r="92" spans="3:12" x14ac:dyDescent="0.25">
      <c r="C92" s="6" t="s">
        <v>442</v>
      </c>
      <c r="D92" s="6"/>
      <c r="E92" s="6">
        <v>1513</v>
      </c>
    </row>
    <row r="93" spans="3:12" x14ac:dyDescent="0.25">
      <c r="C93" s="312" t="s">
        <v>443</v>
      </c>
      <c r="D93" s="314"/>
      <c r="E93" s="6">
        <v>181</v>
      </c>
    </row>
    <row r="94" spans="3:12" x14ac:dyDescent="0.25">
      <c r="C94" s="6" t="s">
        <v>444</v>
      </c>
      <c r="D94" s="6"/>
      <c r="E94" s="6">
        <f>E92-E93</f>
        <v>1332</v>
      </c>
    </row>
    <row r="95" spans="3:12" x14ac:dyDescent="0.25">
      <c r="C95" s="312" t="s">
        <v>449</v>
      </c>
      <c r="D95" s="314"/>
      <c r="E95" s="10">
        <f>E94/E91</f>
        <v>0.72156013001083419</v>
      </c>
    </row>
    <row r="96" spans="3:12" x14ac:dyDescent="0.25">
      <c r="C96" s="385" t="s">
        <v>445</v>
      </c>
      <c r="D96" s="385"/>
      <c r="E96" s="6">
        <v>0.82</v>
      </c>
    </row>
    <row r="97" spans="3:5" x14ac:dyDescent="0.25">
      <c r="C97" s="385" t="s">
        <v>446</v>
      </c>
      <c r="D97" s="385"/>
      <c r="E97" s="243">
        <f>(E96-E95)/E96%</f>
        <v>12.004862193800705</v>
      </c>
    </row>
    <row r="98" spans="3:5" x14ac:dyDescent="0.25">
      <c r="C98" s="385" t="s">
        <v>448</v>
      </c>
      <c r="D98" s="385"/>
      <c r="E98" s="6">
        <f>E97/(2020-2007)</f>
        <v>0.9234509379846696</v>
      </c>
    </row>
  </sheetData>
  <mergeCells count="23">
    <mergeCell ref="C96:D96"/>
    <mergeCell ref="C97:D97"/>
    <mergeCell ref="C90:E90"/>
    <mergeCell ref="C93:D93"/>
    <mergeCell ref="C98:D98"/>
    <mergeCell ref="C95:D95"/>
    <mergeCell ref="E63:L63"/>
    <mergeCell ref="D54:M54"/>
    <mergeCell ref="D46:M46"/>
    <mergeCell ref="D45:M45"/>
    <mergeCell ref="E81:E85"/>
    <mergeCell ref="E71:E80"/>
    <mergeCell ref="E65:E67"/>
    <mergeCell ref="E68:E70"/>
    <mergeCell ref="K17:K20"/>
    <mergeCell ref="K28:K32"/>
    <mergeCell ref="K21:K27"/>
    <mergeCell ref="D8:D9"/>
    <mergeCell ref="F8:F9"/>
    <mergeCell ref="E8:E9"/>
    <mergeCell ref="G8:G9"/>
    <mergeCell ref="D14:J14"/>
    <mergeCell ref="D13:J13"/>
  </mergeCells>
  <dataValidations count="1">
    <dataValidation type="list" allowBlank="1" showInputMessage="1" showErrorMessage="1" sqref="E43">
      <formula1>MetroEF</formula1>
    </dataValidation>
  </dataValidation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C3:M54"/>
  <sheetViews>
    <sheetView topLeftCell="A22" zoomScale="86" zoomScaleNormal="86" workbookViewId="0">
      <selection activeCell="M20" sqref="M20"/>
    </sheetView>
  </sheetViews>
  <sheetFormatPr defaultRowHeight="15" x14ac:dyDescent="0.25"/>
  <cols>
    <col min="1" max="3" width="9.140625" style="128"/>
    <col min="4" max="4" width="18.5703125" style="128" customWidth="1"/>
    <col min="5" max="5" width="19.28515625" style="128" customWidth="1"/>
    <col min="6" max="6" width="16" style="128" customWidth="1"/>
    <col min="7" max="7" width="15.7109375" style="128" customWidth="1"/>
    <col min="8" max="8" width="10.140625" style="128" customWidth="1"/>
    <col min="9" max="10" width="9.140625" style="128"/>
    <col min="11" max="11" width="18.28515625" style="128" customWidth="1"/>
    <col min="12" max="13" width="9.140625" style="128" customWidth="1"/>
    <col min="14" max="14" width="18.28515625" style="128" customWidth="1"/>
    <col min="15" max="15" width="9.140625" style="128"/>
    <col min="16" max="16" width="9.140625" style="128" customWidth="1"/>
    <col min="17" max="17" width="9.140625" style="128"/>
    <col min="18" max="18" width="10.5703125" style="128" customWidth="1"/>
    <col min="19" max="20" width="9.140625" style="128"/>
    <col min="21" max="21" width="18.42578125" style="128" customWidth="1"/>
    <col min="22" max="16384" width="9.140625" style="128"/>
  </cols>
  <sheetData>
    <row r="3" spans="3:13" x14ac:dyDescent="0.25">
      <c r="D3" s="140"/>
      <c r="E3" s="140"/>
      <c r="F3" s="140"/>
      <c r="G3" s="140"/>
    </row>
    <row r="4" spans="3:13" ht="15.75" x14ac:dyDescent="0.25">
      <c r="C4" s="138"/>
      <c r="D4" s="386" t="s">
        <v>385</v>
      </c>
      <c r="E4" s="387"/>
      <c r="F4" s="387"/>
      <c r="G4" s="388"/>
      <c r="H4" s="183"/>
      <c r="I4" s="181"/>
      <c r="J4" s="181"/>
      <c r="K4" s="181"/>
      <c r="L4" s="181"/>
      <c r="M4" s="181"/>
    </row>
    <row r="5" spans="3:13" x14ac:dyDescent="0.25">
      <c r="C5" s="138"/>
      <c r="D5" s="400" t="s">
        <v>363</v>
      </c>
      <c r="E5" s="184" t="s">
        <v>362</v>
      </c>
      <c r="F5" s="184" t="s">
        <v>361</v>
      </c>
      <c r="G5" s="185"/>
      <c r="H5" s="183"/>
      <c r="I5" s="181"/>
      <c r="J5" s="181"/>
      <c r="K5" s="181"/>
      <c r="L5" s="181"/>
      <c r="M5" s="181"/>
    </row>
    <row r="6" spans="3:13" x14ac:dyDescent="0.25">
      <c r="C6" s="138"/>
      <c r="D6" s="401"/>
      <c r="E6" s="133">
        <v>0.25</v>
      </c>
      <c r="F6" s="132">
        <v>8.4</v>
      </c>
      <c r="G6" s="186"/>
      <c r="H6" s="183"/>
      <c r="I6" s="181"/>
      <c r="J6" s="181"/>
      <c r="K6" s="181"/>
      <c r="L6" s="181"/>
      <c r="M6" s="181"/>
    </row>
    <row r="7" spans="3:13" x14ac:dyDescent="0.25">
      <c r="C7" s="138"/>
      <c r="D7" s="401"/>
      <c r="E7" s="133">
        <v>0.5</v>
      </c>
      <c r="F7" s="132">
        <v>4.5</v>
      </c>
      <c r="G7" s="186"/>
      <c r="H7" s="183"/>
      <c r="I7" s="181"/>
      <c r="J7" s="181"/>
      <c r="K7" s="181"/>
      <c r="L7" s="181"/>
      <c r="M7" s="181"/>
    </row>
    <row r="8" spans="3:13" x14ac:dyDescent="0.25">
      <c r="C8" s="138"/>
      <c r="D8" s="401"/>
      <c r="E8" s="133">
        <v>0.6</v>
      </c>
      <c r="F8" s="132">
        <v>4</v>
      </c>
      <c r="G8" s="186"/>
      <c r="H8" s="183"/>
      <c r="I8" s="181"/>
      <c r="J8" s="181"/>
      <c r="K8" s="181"/>
      <c r="L8" s="181"/>
      <c r="M8" s="181"/>
    </row>
    <row r="9" spans="3:13" x14ac:dyDescent="0.25">
      <c r="C9" s="138"/>
      <c r="D9" s="401"/>
      <c r="E9" s="133">
        <v>0.7</v>
      </c>
      <c r="F9" s="132">
        <v>3.3</v>
      </c>
      <c r="G9" s="186"/>
      <c r="H9" s="183"/>
      <c r="I9" s="181"/>
      <c r="J9" s="181"/>
      <c r="K9" s="181"/>
      <c r="L9" s="181"/>
      <c r="M9" s="181"/>
    </row>
    <row r="10" spans="3:13" x14ac:dyDescent="0.25">
      <c r="C10" s="138"/>
      <c r="D10" s="401"/>
      <c r="E10" s="133">
        <v>0.75</v>
      </c>
      <c r="F10" s="132">
        <v>3.2</v>
      </c>
      <c r="G10" s="186"/>
      <c r="H10" s="183"/>
      <c r="I10" s="181"/>
      <c r="J10" s="181"/>
      <c r="K10" s="181"/>
      <c r="L10" s="181"/>
      <c r="M10" s="181"/>
    </row>
    <row r="11" spans="3:13" x14ac:dyDescent="0.25">
      <c r="C11" s="138"/>
      <c r="D11" s="401"/>
      <c r="E11" s="133">
        <v>0.8</v>
      </c>
      <c r="F11" s="132">
        <v>3.1</v>
      </c>
      <c r="G11" s="186"/>
      <c r="H11" s="183"/>
      <c r="I11" s="181"/>
      <c r="J11" s="181"/>
      <c r="K11" s="181"/>
      <c r="L11" s="181"/>
      <c r="M11" s="181"/>
    </row>
    <row r="12" spans="3:13" x14ac:dyDescent="0.25">
      <c r="C12" s="138"/>
      <c r="D12" s="402"/>
      <c r="E12" s="187">
        <v>1</v>
      </c>
      <c r="F12" s="188">
        <v>2.5</v>
      </c>
      <c r="G12" s="189"/>
      <c r="H12" s="183"/>
      <c r="I12" s="182" t="s">
        <v>377</v>
      </c>
      <c r="J12" s="181"/>
      <c r="K12" s="181"/>
      <c r="L12" s="181"/>
      <c r="M12" s="181"/>
    </row>
    <row r="13" spans="3:13" x14ac:dyDescent="0.25">
      <c r="C13" s="138"/>
      <c r="D13" s="191" t="s">
        <v>386</v>
      </c>
      <c r="E13" s="192" t="s">
        <v>378</v>
      </c>
      <c r="F13" s="192" t="s">
        <v>382</v>
      </c>
      <c r="G13" s="193" t="s">
        <v>383</v>
      </c>
      <c r="H13" s="183"/>
      <c r="I13" s="181"/>
      <c r="J13" s="181"/>
      <c r="K13" s="181"/>
      <c r="L13" s="181"/>
      <c r="M13" s="181"/>
    </row>
    <row r="14" spans="3:13" x14ac:dyDescent="0.25">
      <c r="C14" s="138"/>
      <c r="D14" s="403" t="s">
        <v>360</v>
      </c>
      <c r="E14" s="146" t="s">
        <v>379</v>
      </c>
      <c r="F14" s="195">
        <v>1.2</v>
      </c>
      <c r="G14" s="196">
        <v>1</v>
      </c>
      <c r="H14" s="139"/>
    </row>
    <row r="15" spans="3:13" x14ac:dyDescent="0.25">
      <c r="C15" s="138"/>
      <c r="D15" s="404"/>
      <c r="E15" s="131" t="s">
        <v>380</v>
      </c>
      <c r="F15" s="133">
        <v>0.5</v>
      </c>
      <c r="G15" s="197">
        <v>0.7</v>
      </c>
      <c r="H15" s="139"/>
    </row>
    <row r="16" spans="3:13" x14ac:dyDescent="0.25">
      <c r="C16" s="138"/>
      <c r="D16" s="404"/>
      <c r="E16" s="131"/>
      <c r="F16" s="132"/>
      <c r="G16" s="186"/>
      <c r="H16" s="139"/>
    </row>
    <row r="17" spans="3:11" x14ac:dyDescent="0.25">
      <c r="C17" s="138"/>
      <c r="D17" s="405"/>
      <c r="E17" s="153" t="s">
        <v>358</v>
      </c>
      <c r="F17" s="200">
        <f>(F7-F9)/F7</f>
        <v>0.26666666666666672</v>
      </c>
      <c r="G17" s="201"/>
      <c r="H17" s="139"/>
    </row>
    <row r="18" spans="3:11" x14ac:dyDescent="0.25">
      <c r="C18" s="138"/>
      <c r="D18" s="403" t="s">
        <v>359</v>
      </c>
      <c r="E18" s="146" t="s">
        <v>379</v>
      </c>
      <c r="F18" s="195">
        <v>1.1000000000000001</v>
      </c>
      <c r="G18" s="196">
        <v>1</v>
      </c>
      <c r="H18" s="139"/>
    </row>
    <row r="19" spans="3:11" x14ac:dyDescent="0.25">
      <c r="C19" s="138"/>
      <c r="D19" s="404"/>
      <c r="E19" s="131" t="s">
        <v>380</v>
      </c>
      <c r="F19" s="133">
        <v>0.6</v>
      </c>
      <c r="G19" s="197">
        <v>0.7</v>
      </c>
      <c r="H19" s="139"/>
    </row>
    <row r="20" spans="3:11" x14ac:dyDescent="0.25">
      <c r="C20" s="138"/>
      <c r="D20" s="404"/>
      <c r="E20" s="131"/>
      <c r="F20" s="132"/>
      <c r="G20" s="186"/>
      <c r="H20" s="139"/>
    </row>
    <row r="21" spans="3:11" x14ac:dyDescent="0.25">
      <c r="C21" s="138"/>
      <c r="D21" s="406"/>
      <c r="E21" s="151" t="s">
        <v>358</v>
      </c>
      <c r="F21" s="199">
        <f>(F8-F9)/F8</f>
        <v>0.17500000000000004</v>
      </c>
      <c r="G21" s="189"/>
      <c r="H21" s="139"/>
    </row>
    <row r="22" spans="3:11" x14ac:dyDescent="0.25">
      <c r="C22" s="138"/>
      <c r="D22" s="403" t="s">
        <v>357</v>
      </c>
      <c r="E22" s="146" t="s">
        <v>379</v>
      </c>
      <c r="F22" s="195">
        <v>0.75</v>
      </c>
      <c r="G22" s="196">
        <v>0.5</v>
      </c>
      <c r="H22" s="139"/>
    </row>
    <row r="23" spans="3:11" x14ac:dyDescent="0.25">
      <c r="C23" s="138"/>
      <c r="D23" s="404"/>
      <c r="E23" s="131" t="s">
        <v>380</v>
      </c>
      <c r="F23" s="133">
        <v>0.25</v>
      </c>
      <c r="G23" s="197">
        <v>0.5</v>
      </c>
      <c r="H23" s="139"/>
    </row>
    <row r="24" spans="3:11" x14ac:dyDescent="0.25">
      <c r="C24" s="138"/>
      <c r="D24" s="404"/>
      <c r="E24" s="131"/>
      <c r="F24" s="132"/>
      <c r="G24" s="186"/>
      <c r="H24" s="139"/>
    </row>
    <row r="25" spans="3:11" x14ac:dyDescent="0.25">
      <c r="C25" s="138"/>
      <c r="D25" s="405"/>
      <c r="E25" s="153" t="s">
        <v>354</v>
      </c>
      <c r="F25" s="203">
        <f>((F6+F10)/2-F7)/(AVERAGE(F6,F10))</f>
        <v>0.22413793103448285</v>
      </c>
      <c r="G25" s="201"/>
      <c r="H25" s="139"/>
    </row>
    <row r="26" spans="3:11" x14ac:dyDescent="0.25">
      <c r="C26" s="138"/>
      <c r="D26" s="403" t="s">
        <v>356</v>
      </c>
      <c r="E26" s="146" t="s">
        <v>379</v>
      </c>
      <c r="F26" s="195">
        <v>1.3</v>
      </c>
      <c r="G26" s="196">
        <v>1</v>
      </c>
      <c r="H26" s="139"/>
    </row>
    <row r="27" spans="3:11" x14ac:dyDescent="0.25">
      <c r="C27" s="138"/>
      <c r="D27" s="404"/>
      <c r="E27" s="131" t="s">
        <v>380</v>
      </c>
      <c r="F27" s="133">
        <v>0.6</v>
      </c>
      <c r="G27" s="197">
        <v>0.8</v>
      </c>
      <c r="H27" s="139"/>
    </row>
    <row r="28" spans="3:11" x14ac:dyDescent="0.25">
      <c r="C28" s="138"/>
      <c r="D28" s="404"/>
      <c r="E28" s="131"/>
      <c r="F28" s="132"/>
      <c r="G28" s="186"/>
      <c r="H28" s="139"/>
    </row>
    <row r="29" spans="3:11" x14ac:dyDescent="0.25">
      <c r="C29" s="138"/>
      <c r="D29" s="406"/>
      <c r="E29" s="151" t="s">
        <v>354</v>
      </c>
      <c r="F29" s="202">
        <f>(F8-F11)/F8</f>
        <v>0.22499999999999998</v>
      </c>
      <c r="G29" s="189"/>
      <c r="H29" s="139"/>
    </row>
    <row r="30" spans="3:11" s="129" customFormat="1" x14ac:dyDescent="0.25">
      <c r="D30" s="204"/>
      <c r="E30" s="204"/>
      <c r="F30" s="204"/>
      <c r="G30" s="204"/>
      <c r="H30" s="205"/>
      <c r="I30" s="205"/>
      <c r="J30" s="205"/>
    </row>
    <row r="31" spans="3:11" x14ac:dyDescent="0.25">
      <c r="C31" s="138"/>
      <c r="D31" s="207"/>
      <c r="E31" s="408" t="s">
        <v>381</v>
      </c>
      <c r="F31" s="409"/>
      <c r="G31" s="409"/>
      <c r="H31" s="409"/>
      <c r="I31" s="409"/>
      <c r="J31" s="410"/>
      <c r="K31" s="139"/>
    </row>
    <row r="32" spans="3:11" x14ac:dyDescent="0.25">
      <c r="C32" s="138"/>
      <c r="D32" s="389" t="s">
        <v>353</v>
      </c>
      <c r="E32" s="156" t="s">
        <v>352</v>
      </c>
      <c r="F32" s="131"/>
      <c r="G32" s="132"/>
      <c r="H32" s="133">
        <v>9.0800000000000006E-2</v>
      </c>
      <c r="I32" s="132" t="s">
        <v>350</v>
      </c>
      <c r="J32" s="186"/>
      <c r="K32" s="183"/>
    </row>
    <row r="33" spans="3:12" x14ac:dyDescent="0.25">
      <c r="C33" s="138"/>
      <c r="D33" s="390"/>
      <c r="E33" s="156" t="s">
        <v>351</v>
      </c>
      <c r="F33" s="131"/>
      <c r="G33" s="132"/>
      <c r="H33" s="135">
        <v>4.5400000000000003E-2</v>
      </c>
      <c r="I33" s="132" t="s">
        <v>350</v>
      </c>
      <c r="J33" s="186"/>
      <c r="K33" s="139"/>
    </row>
    <row r="34" spans="3:12" x14ac:dyDescent="0.25">
      <c r="C34" s="138"/>
      <c r="D34" s="390"/>
      <c r="E34" s="156" t="s">
        <v>384</v>
      </c>
      <c r="F34" s="131"/>
      <c r="G34" s="132"/>
      <c r="H34" s="135">
        <f>H32*4</f>
        <v>0.36320000000000002</v>
      </c>
      <c r="I34" s="132"/>
      <c r="J34" s="186"/>
      <c r="K34" s="139"/>
    </row>
    <row r="35" spans="3:12" x14ac:dyDescent="0.25">
      <c r="C35" s="138"/>
      <c r="D35" s="390"/>
      <c r="E35" s="208" t="s">
        <v>349</v>
      </c>
      <c r="F35" s="153"/>
      <c r="G35" s="209"/>
      <c r="H35" s="203">
        <f>H33*14</f>
        <v>0.63560000000000005</v>
      </c>
      <c r="I35" s="209"/>
      <c r="J35" s="201"/>
      <c r="K35" s="139"/>
    </row>
    <row r="36" spans="3:12" x14ac:dyDescent="0.25">
      <c r="C36" s="138"/>
      <c r="D36" s="391" t="s">
        <v>348</v>
      </c>
      <c r="E36" s="392"/>
      <c r="F36" s="392"/>
      <c r="G36" s="392"/>
      <c r="H36" s="392"/>
      <c r="I36" s="392"/>
      <c r="J36" s="393"/>
      <c r="K36" s="139"/>
    </row>
    <row r="37" spans="3:12" x14ac:dyDescent="0.25">
      <c r="C37" s="138"/>
      <c r="D37" s="145" t="s">
        <v>346</v>
      </c>
      <c r="E37" s="145" t="s">
        <v>343</v>
      </c>
      <c r="F37" s="145"/>
      <c r="G37" s="194"/>
      <c r="H37" s="190">
        <v>1.3</v>
      </c>
      <c r="I37" s="190" t="s">
        <v>355</v>
      </c>
      <c r="J37" s="210">
        <v>1.4</v>
      </c>
      <c r="K37" s="139"/>
    </row>
    <row r="38" spans="3:12" x14ac:dyDescent="0.25">
      <c r="C38" s="138"/>
      <c r="D38" s="153" t="s">
        <v>344</v>
      </c>
      <c r="E38" s="153" t="s">
        <v>343</v>
      </c>
      <c r="F38" s="153"/>
      <c r="G38" s="209"/>
      <c r="H38" s="211">
        <v>0.6</v>
      </c>
      <c r="I38" s="209" t="s">
        <v>355</v>
      </c>
      <c r="J38" s="212">
        <v>0.7</v>
      </c>
      <c r="K38" s="139"/>
    </row>
    <row r="39" spans="3:12" x14ac:dyDescent="0.25">
      <c r="C39" s="138"/>
      <c r="D39" s="391" t="s">
        <v>347</v>
      </c>
      <c r="E39" s="392"/>
      <c r="F39" s="392"/>
      <c r="G39" s="392"/>
      <c r="H39" s="392"/>
      <c r="I39" s="392"/>
      <c r="J39" s="393"/>
      <c r="K39" s="139"/>
    </row>
    <row r="40" spans="3:12" x14ac:dyDescent="0.25">
      <c r="C40" s="138"/>
      <c r="D40" s="145" t="s">
        <v>346</v>
      </c>
      <c r="E40" s="145" t="s">
        <v>343</v>
      </c>
      <c r="F40" s="145"/>
      <c r="G40" s="194"/>
      <c r="H40" s="190">
        <v>1.2</v>
      </c>
      <c r="I40" s="190" t="s">
        <v>355</v>
      </c>
      <c r="J40" s="210">
        <v>1.3</v>
      </c>
      <c r="K40" s="214" t="s">
        <v>345</v>
      </c>
    </row>
    <row r="41" spans="3:12" ht="34.5" x14ac:dyDescent="0.25">
      <c r="C41" s="138"/>
      <c r="D41" s="213" t="s">
        <v>344</v>
      </c>
      <c r="E41" s="131" t="s">
        <v>343</v>
      </c>
      <c r="F41" s="131"/>
      <c r="G41" s="132"/>
      <c r="H41" s="133">
        <v>0.7</v>
      </c>
      <c r="I41" s="132" t="s">
        <v>355</v>
      </c>
      <c r="J41" s="197">
        <v>0.8</v>
      </c>
      <c r="K41" s="216" t="s">
        <v>341</v>
      </c>
      <c r="L41" s="139"/>
    </row>
    <row r="42" spans="3:12" ht="38.25" customHeight="1" x14ac:dyDescent="0.25">
      <c r="C42" s="138"/>
      <c r="D42" s="198"/>
      <c r="E42" s="407" t="s">
        <v>342</v>
      </c>
      <c r="F42" s="407"/>
      <c r="G42" s="132"/>
      <c r="H42" s="135">
        <f>F21</f>
        <v>0.17500000000000004</v>
      </c>
      <c r="I42" s="132"/>
      <c r="J42" s="186"/>
      <c r="K42" s="216" t="s">
        <v>341</v>
      </c>
      <c r="L42" s="139"/>
    </row>
    <row r="43" spans="3:12" x14ac:dyDescent="0.25">
      <c r="C43" s="138"/>
      <c r="D43" s="198"/>
      <c r="E43" s="131"/>
      <c r="F43" s="131"/>
      <c r="G43" s="132"/>
      <c r="H43" s="132"/>
      <c r="I43" s="132"/>
      <c r="J43" s="186"/>
      <c r="K43" s="215"/>
    </row>
    <row r="44" spans="3:12" x14ac:dyDescent="0.25">
      <c r="C44" s="138"/>
      <c r="D44" s="198"/>
      <c r="E44" s="131"/>
      <c r="F44" s="131"/>
      <c r="G44" s="132"/>
      <c r="H44" s="132"/>
      <c r="I44" s="132"/>
      <c r="J44" s="186"/>
      <c r="K44" s="139"/>
    </row>
    <row r="45" spans="3:12" x14ac:dyDescent="0.25">
      <c r="C45" s="138"/>
      <c r="D45" s="198"/>
      <c r="E45" s="131" t="s">
        <v>340</v>
      </c>
      <c r="F45" s="131"/>
      <c r="G45" s="132"/>
      <c r="H45" s="143">
        <f>4*(H42)/18</f>
        <v>3.8888888888888896E-2</v>
      </c>
      <c r="I45" s="132"/>
      <c r="J45" s="186"/>
      <c r="K45" s="139"/>
    </row>
    <row r="46" spans="3:12" x14ac:dyDescent="0.25">
      <c r="C46" s="138"/>
      <c r="D46" s="198"/>
      <c r="E46" s="131"/>
      <c r="F46" s="131"/>
      <c r="G46" s="132"/>
      <c r="H46" s="132"/>
      <c r="I46" s="132"/>
      <c r="J46" s="186"/>
      <c r="K46" s="139"/>
    </row>
    <row r="47" spans="3:12" x14ac:dyDescent="0.25">
      <c r="C47" s="138"/>
      <c r="D47" s="198"/>
      <c r="E47" s="131" t="s">
        <v>339</v>
      </c>
      <c r="F47" s="131"/>
      <c r="G47" s="132"/>
      <c r="H47" s="132"/>
      <c r="I47" s="132"/>
      <c r="J47" s="186"/>
      <c r="K47" s="139"/>
    </row>
    <row r="48" spans="3:12" x14ac:dyDescent="0.25">
      <c r="C48" s="138"/>
      <c r="D48" s="198"/>
      <c r="E48" s="131" t="s">
        <v>338</v>
      </c>
      <c r="F48" s="131"/>
      <c r="G48" s="132"/>
      <c r="H48" s="135">
        <v>0.48</v>
      </c>
      <c r="I48" s="132"/>
      <c r="J48" s="186"/>
      <c r="K48" s="139"/>
    </row>
    <row r="49" spans="3:11" x14ac:dyDescent="0.25">
      <c r="C49" s="138"/>
      <c r="D49" s="198"/>
      <c r="E49" s="131" t="s">
        <v>338</v>
      </c>
      <c r="F49" s="131"/>
      <c r="G49" s="132"/>
      <c r="H49" s="135">
        <v>0.56999999999999995</v>
      </c>
      <c r="I49" s="132"/>
      <c r="J49" s="186"/>
      <c r="K49" s="139"/>
    </row>
    <row r="50" spans="3:11" x14ac:dyDescent="0.25">
      <c r="C50" s="138"/>
      <c r="D50" s="198"/>
      <c r="E50" s="131"/>
      <c r="F50" s="131"/>
      <c r="G50" s="132"/>
      <c r="H50" s="132"/>
      <c r="I50" s="132"/>
      <c r="J50" s="186"/>
      <c r="K50" s="139"/>
    </row>
    <row r="51" spans="3:11" ht="15" customHeight="1" x14ac:dyDescent="0.25">
      <c r="C51" s="138"/>
      <c r="D51" s="198"/>
      <c r="E51" s="394" t="s">
        <v>337</v>
      </c>
      <c r="F51" s="395"/>
      <c r="G51" s="132" t="s">
        <v>336</v>
      </c>
      <c r="H51" s="134">
        <f>H48*H45</f>
        <v>1.8666666666666668E-2</v>
      </c>
      <c r="I51" s="132"/>
      <c r="J51" s="186"/>
      <c r="K51" s="139"/>
    </row>
    <row r="52" spans="3:11" x14ac:dyDescent="0.25">
      <c r="C52" s="138"/>
      <c r="D52" s="198"/>
      <c r="E52" s="396"/>
      <c r="F52" s="397"/>
      <c r="G52" s="132" t="s">
        <v>335</v>
      </c>
      <c r="H52" s="134">
        <f>H49*H45</f>
        <v>2.2166666666666668E-2</v>
      </c>
      <c r="I52" s="132"/>
      <c r="J52" s="186"/>
      <c r="K52" s="139"/>
    </row>
    <row r="53" spans="3:11" x14ac:dyDescent="0.25">
      <c r="C53" s="138"/>
      <c r="D53" s="206"/>
      <c r="E53" s="398"/>
      <c r="F53" s="399"/>
      <c r="G53" s="188"/>
      <c r="H53" s="188"/>
      <c r="I53" s="188"/>
      <c r="J53" s="189"/>
      <c r="K53" s="139"/>
    </row>
    <row r="54" spans="3:11" x14ac:dyDescent="0.25">
      <c r="D54" s="141"/>
      <c r="E54" s="141"/>
      <c r="F54" s="141"/>
      <c r="G54" s="141"/>
      <c r="H54" s="141"/>
      <c r="I54" s="141"/>
      <c r="J54" s="141"/>
    </row>
  </sheetData>
  <mergeCells count="12">
    <mergeCell ref="D4:G4"/>
    <mergeCell ref="D32:D35"/>
    <mergeCell ref="D36:J36"/>
    <mergeCell ref="D39:J39"/>
    <mergeCell ref="E51:F53"/>
    <mergeCell ref="D5:D12"/>
    <mergeCell ref="D14:D17"/>
    <mergeCell ref="D18:D21"/>
    <mergeCell ref="D22:D25"/>
    <mergeCell ref="D26:D29"/>
    <mergeCell ref="E42:F42"/>
    <mergeCell ref="E31:J31"/>
  </mergeCell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C4:J25"/>
  <sheetViews>
    <sheetView workbookViewId="0">
      <selection activeCell="M26" sqref="M26"/>
    </sheetView>
  </sheetViews>
  <sheetFormatPr defaultRowHeight="15" x14ac:dyDescent="0.25"/>
  <cols>
    <col min="1" max="16384" width="9.140625" style="1"/>
  </cols>
  <sheetData>
    <row r="4" spans="3:10" x14ac:dyDescent="0.25">
      <c r="C4" s="319" t="s">
        <v>88</v>
      </c>
      <c r="D4" s="319"/>
      <c r="E4" s="319"/>
      <c r="F4" s="319"/>
      <c r="G4" s="319"/>
      <c r="H4" s="319"/>
      <c r="I4" s="319"/>
    </row>
    <row r="6" spans="3:10" ht="15.75" x14ac:dyDescent="0.3">
      <c r="C6" s="47" t="s">
        <v>83</v>
      </c>
      <c r="D6" s="47" t="s">
        <v>84</v>
      </c>
      <c r="E6" s="9" t="s">
        <v>85</v>
      </c>
      <c r="F6" s="47" t="s">
        <v>72</v>
      </c>
      <c r="G6" s="47" t="s">
        <v>86</v>
      </c>
      <c r="H6" s="47" t="s">
        <v>39</v>
      </c>
      <c r="I6" s="47" t="s">
        <v>87</v>
      </c>
    </row>
    <row r="7" spans="3:10" ht="15.75" x14ac:dyDescent="0.3">
      <c r="C7" s="44">
        <v>10</v>
      </c>
      <c r="D7" s="44">
        <f t="shared" ref="D7:I7" si="0">D8/35*40</f>
        <v>-79.453329296191015</v>
      </c>
      <c r="E7" s="44">
        <f t="shared" si="0"/>
        <v>-79.453329296191015</v>
      </c>
      <c r="F7" s="44">
        <f t="shared" si="0"/>
        <v>-69.932437804548925</v>
      </c>
      <c r="G7" s="44">
        <f t="shared" si="0"/>
        <v>-78.556525022080663</v>
      </c>
      <c r="H7" s="44">
        <f t="shared" si="0"/>
        <v>-69.932437804548925</v>
      </c>
      <c r="I7" s="44">
        <f t="shared" si="0"/>
        <v>-69.932437804548925</v>
      </c>
      <c r="J7" s="21" t="s">
        <v>112</v>
      </c>
    </row>
    <row r="8" spans="3:10" ht="15.75" x14ac:dyDescent="0.3">
      <c r="C8" s="45">
        <v>15</v>
      </c>
      <c r="D8" s="44">
        <v>-69.521663134167142</v>
      </c>
      <c r="E8" s="46">
        <f t="shared" ref="E8:E25" si="1">D8</f>
        <v>-69.521663134167142</v>
      </c>
      <c r="F8" s="44">
        <v>-61.190883078980313</v>
      </c>
      <c r="G8" s="44">
        <v>-68.736959394320579</v>
      </c>
      <c r="H8" s="44">
        <f>F8</f>
        <v>-61.190883078980313</v>
      </c>
      <c r="I8" s="46">
        <f>F8</f>
        <v>-61.190883078980313</v>
      </c>
      <c r="J8" s="1" t="s">
        <v>90</v>
      </c>
    </row>
    <row r="9" spans="3:10" ht="15.75" x14ac:dyDescent="0.3">
      <c r="C9" s="45">
        <v>20</v>
      </c>
      <c r="D9" s="44">
        <v>-43.075206788601058</v>
      </c>
      <c r="E9" s="46">
        <f t="shared" si="1"/>
        <v>-43.075206788601058</v>
      </c>
      <c r="F9" s="44">
        <v>-34.376559887713093</v>
      </c>
      <c r="G9" s="44">
        <v>-37.905996068801379</v>
      </c>
      <c r="H9" s="44">
        <v>-50.988026853685248</v>
      </c>
      <c r="I9" s="46">
        <f t="shared" ref="I9:I25" si="2">H9</f>
        <v>-50.988026853685248</v>
      </c>
    </row>
    <row r="10" spans="3:10" ht="15.75" x14ac:dyDescent="0.3">
      <c r="C10" s="45">
        <v>25</v>
      </c>
      <c r="D10" s="44">
        <v>-26.141661748439933</v>
      </c>
      <c r="E10" s="46">
        <f t="shared" si="1"/>
        <v>-26.141661748439933</v>
      </c>
      <c r="F10" s="44">
        <v>-20.023033020871797</v>
      </c>
      <c r="G10" s="44">
        <v>-22.371810611846929</v>
      </c>
      <c r="H10" s="44">
        <v>-39.374695682079917</v>
      </c>
      <c r="I10" s="46">
        <f t="shared" si="2"/>
        <v>-39.374695682079917</v>
      </c>
    </row>
    <row r="11" spans="3:10" ht="15.75" x14ac:dyDescent="0.3">
      <c r="C11" s="45">
        <v>30</v>
      </c>
      <c r="D11" s="44">
        <v>-20.925438073730824</v>
      </c>
      <c r="E11" s="46">
        <f t="shared" si="1"/>
        <v>-20.925438073730824</v>
      </c>
      <c r="F11" s="44">
        <v>-12.431700310913214</v>
      </c>
      <c r="G11" s="44">
        <v>-17.8445338890802</v>
      </c>
      <c r="H11" s="44">
        <v>-23.409575218718462</v>
      </c>
      <c r="I11" s="46">
        <f t="shared" si="2"/>
        <v>-23.409575218718462</v>
      </c>
    </row>
    <row r="12" spans="3:10" ht="15.75" x14ac:dyDescent="0.3">
      <c r="C12" s="45">
        <v>35</v>
      </c>
      <c r="D12" s="44">
        <v>-7.1932087615098812</v>
      </c>
      <c r="E12" s="46">
        <f t="shared" si="1"/>
        <v>-7.1932087615098812</v>
      </c>
      <c r="F12" s="44">
        <v>-5.2660524755716143</v>
      </c>
      <c r="G12" s="44">
        <v>-5.58085560370397</v>
      </c>
      <c r="H12" s="44">
        <v>-15.469427537703208</v>
      </c>
      <c r="I12" s="46">
        <f t="shared" si="2"/>
        <v>-15.469427537703208</v>
      </c>
    </row>
    <row r="13" spans="3:10" ht="15.75" x14ac:dyDescent="0.3">
      <c r="C13" s="45">
        <v>40</v>
      </c>
      <c r="D13" s="44">
        <f>AVERAGE(D12,D14)</f>
        <v>-3.9419445191728237</v>
      </c>
      <c r="E13" s="46">
        <f t="shared" si="1"/>
        <v>-3.9419445191728237</v>
      </c>
      <c r="F13" s="44">
        <v>-3.2157914634243023</v>
      </c>
      <c r="G13" s="44">
        <f>AVERAGE(G12,G14)</f>
        <v>-2.8604525101774176</v>
      </c>
      <c r="H13" s="44">
        <v>-8.6514448891454538</v>
      </c>
      <c r="I13" s="46">
        <f t="shared" si="2"/>
        <v>-8.6514448891454538</v>
      </c>
    </row>
    <row r="14" spans="3:10" ht="15.75" x14ac:dyDescent="0.3">
      <c r="C14" s="45">
        <v>45</v>
      </c>
      <c r="D14" s="44">
        <v>-0.69068027683576627</v>
      </c>
      <c r="E14" s="46">
        <f t="shared" si="1"/>
        <v>-0.69068027683576627</v>
      </c>
      <c r="F14" s="44">
        <v>-0.43499360109656771</v>
      </c>
      <c r="G14" s="44">
        <v>-0.14004941665086554</v>
      </c>
      <c r="H14" s="44">
        <v>-3.33994115971905</v>
      </c>
      <c r="I14" s="46">
        <f t="shared" si="2"/>
        <v>-3.33994115971905</v>
      </c>
    </row>
    <row r="15" spans="3:10" ht="15.75" x14ac:dyDescent="0.3">
      <c r="C15" s="45">
        <v>50</v>
      </c>
      <c r="D15" s="44">
        <v>0</v>
      </c>
      <c r="E15" s="46">
        <f t="shared" si="1"/>
        <v>0</v>
      </c>
      <c r="F15" s="44">
        <v>0</v>
      </c>
      <c r="G15" s="44">
        <v>0</v>
      </c>
      <c r="H15" s="44">
        <v>0</v>
      </c>
      <c r="I15" s="46">
        <f t="shared" si="2"/>
        <v>0</v>
      </c>
    </row>
    <row r="16" spans="3:10" ht="15.75" x14ac:dyDescent="0.3">
      <c r="C16" s="45">
        <v>55</v>
      </c>
      <c r="D16" s="44">
        <v>-0.45444787427638633</v>
      </c>
      <c r="E16" s="46">
        <f t="shared" si="1"/>
        <v>-0.45444787427638633</v>
      </c>
      <c r="F16" s="44">
        <v>-1.0973864785971259</v>
      </c>
      <c r="G16" s="44">
        <v>-1.2685919119249356</v>
      </c>
      <c r="H16" s="44">
        <v>1.91660112595942</v>
      </c>
      <c r="I16" s="46">
        <f t="shared" si="2"/>
        <v>1.91660112595942</v>
      </c>
    </row>
    <row r="17" spans="3:9" ht="15.75" x14ac:dyDescent="0.3">
      <c r="C17" s="45">
        <v>60</v>
      </c>
      <c r="D17" s="44">
        <f>AVERAGE(D16,D18)</f>
        <v>-2.3447367927961249</v>
      </c>
      <c r="E17" s="46">
        <f t="shared" si="1"/>
        <v>-2.3447367927961249</v>
      </c>
      <c r="F17" s="44">
        <f>AVERAGE(F16,F18)</f>
        <v>-3.3586889073310529</v>
      </c>
      <c r="G17" s="44">
        <f>AVERAGE(G16,G18)</f>
        <v>-4.0939861919891651</v>
      </c>
      <c r="H17" s="44">
        <v>4.6257857830104001</v>
      </c>
      <c r="I17" s="46">
        <f t="shared" si="2"/>
        <v>4.6257857830104001</v>
      </c>
    </row>
    <row r="18" spans="3:9" ht="15.75" x14ac:dyDescent="0.3">
      <c r="C18" s="45">
        <v>65</v>
      </c>
      <c r="D18" s="44">
        <v>-4.2350257113158634</v>
      </c>
      <c r="E18" s="46">
        <f t="shared" si="1"/>
        <v>-4.2350257113158634</v>
      </c>
      <c r="F18" s="44">
        <v>-5.61999133606498</v>
      </c>
      <c r="G18" s="44">
        <v>-6.919380472053394</v>
      </c>
      <c r="H18" s="44">
        <v>5</v>
      </c>
      <c r="I18" s="46">
        <f t="shared" si="2"/>
        <v>5</v>
      </c>
    </row>
    <row r="19" spans="3:9" ht="15.75" x14ac:dyDescent="0.3">
      <c r="C19" s="45">
        <v>70</v>
      </c>
      <c r="D19" s="44">
        <f>AVERAGE(D18,D20)</f>
        <v>-8.0361218650644997</v>
      </c>
      <c r="E19" s="46">
        <f t="shared" si="1"/>
        <v>-8.0361218650644997</v>
      </c>
      <c r="F19" s="44">
        <f>AVERAGE(F18,F20)</f>
        <v>-9.4225585366627715</v>
      </c>
      <c r="G19" s="44">
        <f>AVERAGE(G18,G20)</f>
        <v>-11.611573840467827</v>
      </c>
      <c r="H19" s="44">
        <v>6.2280150048785217</v>
      </c>
      <c r="I19" s="46">
        <f t="shared" si="2"/>
        <v>6.2280150048785217</v>
      </c>
    </row>
    <row r="20" spans="3:9" ht="15.75" x14ac:dyDescent="0.3">
      <c r="C20" s="45">
        <v>75</v>
      </c>
      <c r="D20" s="44">
        <v>-11.837218018813136</v>
      </c>
      <c r="E20" s="46">
        <f t="shared" si="1"/>
        <v>-11.837218018813136</v>
      </c>
      <c r="F20" s="44">
        <v>-13.225125737260564</v>
      </c>
      <c r="G20" s="44">
        <v>-16.30376720888226</v>
      </c>
      <c r="H20" s="44">
        <v>-0.48351799570141862</v>
      </c>
      <c r="I20" s="46">
        <f t="shared" si="2"/>
        <v>-0.48351799570141862</v>
      </c>
    </row>
    <row r="21" spans="3:9" ht="15.75" x14ac:dyDescent="0.3">
      <c r="C21" s="45">
        <v>80</v>
      </c>
      <c r="D21" s="44">
        <f>AVERAGE(D20,D22)</f>
        <v>-17.540742342595891</v>
      </c>
      <c r="E21" s="46">
        <f t="shared" si="1"/>
        <v>-17.540742342595891</v>
      </c>
      <c r="F21" s="44">
        <f>AVERAGE(F20,F22)</f>
        <v>-18.424660101771</v>
      </c>
      <c r="G21" s="44">
        <f>AVERAGE(G20,G22)</f>
        <v>-22.555960714861023</v>
      </c>
      <c r="H21" s="44">
        <f>AVERAGE(H20,H22)</f>
        <v>-3.7004108100907942</v>
      </c>
      <c r="I21" s="46">
        <f t="shared" si="2"/>
        <v>-3.7004108100907942</v>
      </c>
    </row>
    <row r="22" spans="3:9" ht="15.75" x14ac:dyDescent="0.3">
      <c r="C22" s="45">
        <v>85</v>
      </c>
      <c r="D22" s="44">
        <v>-23.24426666637865</v>
      </c>
      <c r="E22" s="46">
        <f t="shared" si="1"/>
        <v>-23.24426666637865</v>
      </c>
      <c r="F22" s="44">
        <v>-23.624194466281438</v>
      </c>
      <c r="G22" s="44">
        <v>-28.808154220839786</v>
      </c>
      <c r="H22" s="44">
        <v>-6.9173036244801702</v>
      </c>
      <c r="I22" s="46">
        <f t="shared" si="2"/>
        <v>-6.9173036244801702</v>
      </c>
    </row>
    <row r="23" spans="3:9" ht="15.75" x14ac:dyDescent="0.3">
      <c r="C23" s="45">
        <v>90</v>
      </c>
      <c r="D23" s="44">
        <f>AVERAGE(D22,D24)</f>
        <v>-29.99313270622239</v>
      </c>
      <c r="E23" s="46">
        <f t="shared" si="1"/>
        <v>-29.99313270622239</v>
      </c>
      <c r="F23" s="44">
        <f>AVERAGE(F22,F24)</f>
        <v>-30.020876204544237</v>
      </c>
      <c r="G23" s="44">
        <f>AVERAGE(G22,G24)</f>
        <v>-36.667508120945477</v>
      </c>
      <c r="H23" s="44">
        <f>AVERAGE(H22,H24)</f>
        <v>-11.648462089154826</v>
      </c>
      <c r="I23" s="46">
        <f t="shared" si="2"/>
        <v>-11.648462089154826</v>
      </c>
    </row>
    <row r="24" spans="3:9" ht="15.75" x14ac:dyDescent="0.3">
      <c r="C24" s="45">
        <v>95</v>
      </c>
      <c r="D24" s="44">
        <v>-36.74199874606613</v>
      </c>
      <c r="E24" s="46">
        <f t="shared" si="1"/>
        <v>-36.74199874606613</v>
      </c>
      <c r="F24" s="44">
        <v>-36.417557942807036</v>
      </c>
      <c r="G24" s="44">
        <v>-44.526862021051166</v>
      </c>
      <c r="H24" s="44">
        <v>-16.379620553829483</v>
      </c>
      <c r="I24" s="46">
        <f t="shared" si="2"/>
        <v>-16.379620553829483</v>
      </c>
    </row>
    <row r="25" spans="3:9" ht="15.75" x14ac:dyDescent="0.3">
      <c r="C25" s="45">
        <v>100</v>
      </c>
      <c r="D25" s="44">
        <v>-36.74199874606613</v>
      </c>
      <c r="E25" s="46">
        <f t="shared" si="1"/>
        <v>-36.74199874606613</v>
      </c>
      <c r="F25" s="44">
        <v>-36.323650578734906</v>
      </c>
      <c r="G25" s="44">
        <v>-44.526862021051166</v>
      </c>
      <c r="H25" s="44">
        <f>AVERAGE(H24,H26)</f>
        <v>-16.379620553829483</v>
      </c>
      <c r="I25" s="46">
        <f t="shared" si="2"/>
        <v>-16.379620553829483</v>
      </c>
    </row>
  </sheetData>
  <sortState ref="C7:I24">
    <sortCondition ref="C7"/>
  </sortState>
  <mergeCells count="1">
    <mergeCell ref="C4:I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5</vt:i4>
      </vt:variant>
    </vt:vector>
  </HeadingPairs>
  <TitlesOfParts>
    <vt:vector size="21" baseType="lpstr">
      <vt:lpstr>Title</vt:lpstr>
      <vt:lpstr>How to use the tool</vt:lpstr>
      <vt:lpstr>Results</vt:lpstr>
      <vt:lpstr>BAU Assumptions</vt:lpstr>
      <vt:lpstr>CMP Data Input</vt:lpstr>
      <vt:lpstr>C_VC Data</vt:lpstr>
      <vt:lpstr>BAU (2030)</vt:lpstr>
      <vt:lpstr>CMP_As Is Scenario (2030)</vt:lpstr>
      <vt:lpstr>Induced Demand</vt:lpstr>
      <vt:lpstr>CMP_Most Likely (2030)</vt:lpstr>
      <vt:lpstr>Additional Measures</vt:lpstr>
      <vt:lpstr>CMP Add Measures(2030)</vt:lpstr>
      <vt:lpstr>Construction Emissions</vt:lpstr>
      <vt:lpstr>Emissions Factors</vt:lpstr>
      <vt:lpstr>Ld Fctr imprv</vt:lpstr>
      <vt:lpstr>Speed Emissions Relation</vt:lpstr>
      <vt:lpstr>fuel_type</vt:lpstr>
      <vt:lpstr>MetroEF</vt:lpstr>
      <vt:lpstr>speed_emission_rel</vt:lpstr>
      <vt:lpstr>veh_category</vt:lpstr>
      <vt:lpstr>yes_no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Vivek</dc:creator>
  <cp:lastModifiedBy>Jayeta Gill</cp:lastModifiedBy>
  <dcterms:created xsi:type="dcterms:W3CDTF">2011-02-15T13:04:28Z</dcterms:created>
  <dcterms:modified xsi:type="dcterms:W3CDTF">2017-03-23T08:55:10Z</dcterms:modified>
</cp:coreProperties>
</file>